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fsmak1\Departments\IZVRSNI ODBOR\93 sednica 20160322\"/>
    </mc:Choice>
  </mc:AlternateContent>
  <bookViews>
    <workbookView xWindow="0" yWindow="0" windowWidth="19170" windowHeight="12810" firstSheet="6" activeTab="12"/>
  </bookViews>
  <sheets>
    <sheet name="1. OŽ" sheetId="9" r:id="rId1"/>
    <sheet name="2. ŽO osim OŽ" sheetId="10" r:id="rId2"/>
    <sheet name="3. ŽO zbirno" sheetId="11" r:id="rId3"/>
    <sheet name="4. N i DZ" sheetId="12" r:id="rId4"/>
    <sheet name="5. MV" sheetId="13" r:id="rId5"/>
    <sheet name="6. PO i TR" sheetId="14" r:id="rId6"/>
    <sheet name="7. VAZ" sheetId="15" r:id="rId7"/>
    <sheet name="8. IMOV" sheetId="16" r:id="rId8"/>
    <sheet name="9. ODG." sheetId="17" r:id="rId9"/>
    <sheet name="10.KJ" sheetId="18" r:id="rId10"/>
    <sheet name="11. OST." sheetId="19" r:id="rId11"/>
    <sheet name="12. NZZ" sheetId="21" r:id="rId12"/>
    <sheet name="13. ukupno" sheetId="22" r:id="rId13"/>
    <sheet name="Sheet1" sheetId="24" r:id="rId14"/>
    <sheet name="zajedno (segmentno)" sheetId="23" state="hidden" r:id="rId15"/>
  </sheets>
  <calcPr calcId="152511"/>
</workbook>
</file>

<file path=xl/calcChain.xml><?xml version="1.0" encoding="utf-8"?>
<calcChain xmlns="http://schemas.openxmlformats.org/spreadsheetml/2006/main">
  <c r="M72" i="19" l="1"/>
  <c r="M122" i="19"/>
  <c r="M127" i="19"/>
  <c r="M128" i="19"/>
  <c r="M130" i="19"/>
  <c r="M131" i="19"/>
  <c r="M132" i="19"/>
  <c r="M133" i="19"/>
  <c r="M134" i="19"/>
  <c r="H101" i="22"/>
  <c r="H96" i="22"/>
  <c r="H95" i="22"/>
  <c r="H86" i="22"/>
  <c r="H84" i="22" s="1"/>
  <c r="H75" i="22"/>
  <c r="H73" i="22" s="1"/>
  <c r="H67" i="22"/>
  <c r="H56" i="22"/>
  <c r="H47" i="22"/>
  <c r="H38" i="22"/>
  <c r="H37" i="22" s="1"/>
  <c r="H30" i="22"/>
  <c r="H23" i="22"/>
  <c r="H22" i="22"/>
  <c r="H70" i="22" s="1"/>
  <c r="H93" i="22" l="1"/>
  <c r="H109" i="22" s="1"/>
  <c r="H117" i="22" s="1"/>
  <c r="H121" i="22" s="1"/>
  <c r="H129" i="22" l="1"/>
  <c r="H126" i="22"/>
  <c r="U52" i="23" l="1"/>
  <c r="S52" i="23"/>
  <c r="Q52" i="23"/>
  <c r="K52" i="23"/>
  <c r="U75" i="23"/>
  <c r="S75" i="23"/>
  <c r="Q75" i="23"/>
  <c r="K75" i="23"/>
  <c r="U73" i="23"/>
  <c r="S73" i="23"/>
  <c r="Q73" i="23"/>
  <c r="K73" i="23"/>
  <c r="U71" i="23"/>
  <c r="S71" i="23"/>
  <c r="Q71" i="23"/>
  <c r="K71" i="23"/>
  <c r="U67" i="23"/>
  <c r="S67" i="23"/>
  <c r="Q67" i="23"/>
  <c r="K67" i="23"/>
  <c r="U60" i="23"/>
  <c r="S60" i="23"/>
  <c r="Q60" i="23"/>
  <c r="K60" i="23"/>
  <c r="U56" i="23"/>
  <c r="S56" i="23"/>
  <c r="Q56" i="23"/>
  <c r="K56" i="23"/>
  <c r="U54" i="23"/>
  <c r="S54" i="23"/>
  <c r="Q54" i="23"/>
  <c r="K54" i="23"/>
  <c r="U53" i="23"/>
  <c r="S53" i="23"/>
  <c r="Q53" i="23"/>
  <c r="K53" i="23"/>
  <c r="U76" i="23"/>
  <c r="S76" i="23"/>
  <c r="Q76" i="23"/>
  <c r="K76" i="23"/>
  <c r="U74" i="23"/>
  <c r="S74" i="23"/>
  <c r="Q74" i="23"/>
  <c r="K74" i="23"/>
  <c r="U72" i="23"/>
  <c r="S72" i="23"/>
  <c r="Q72" i="23"/>
  <c r="K72" i="23"/>
  <c r="U66" i="23"/>
  <c r="S66" i="23"/>
  <c r="Q66" i="23"/>
  <c r="K66" i="23"/>
  <c r="U65" i="23"/>
  <c r="S65" i="23"/>
  <c r="Q65" i="23"/>
  <c r="K65" i="23"/>
  <c r="U64" i="23"/>
  <c r="S64" i="23"/>
  <c r="Q64" i="23"/>
  <c r="K64" i="23"/>
  <c r="U61" i="23"/>
  <c r="S61" i="23"/>
  <c r="Q61" i="23"/>
  <c r="K61" i="23"/>
  <c r="U55" i="23"/>
  <c r="S55" i="23"/>
  <c r="Q55" i="23"/>
  <c r="K55" i="23"/>
  <c r="U51" i="23"/>
  <c r="S51" i="23"/>
  <c r="Q51" i="23"/>
  <c r="K51" i="23"/>
  <c r="U50" i="23"/>
  <c r="S50" i="23"/>
  <c r="Q50" i="23"/>
  <c r="K50" i="23"/>
  <c r="U47" i="23"/>
  <c r="S47" i="23"/>
  <c r="Q47" i="23"/>
  <c r="K47" i="23"/>
  <c r="K46" i="23"/>
  <c r="Q46" i="23"/>
  <c r="S46" i="23"/>
  <c r="U46" i="23"/>
  <c r="U45" i="23"/>
  <c r="S45" i="23"/>
  <c r="Q45" i="23"/>
  <c r="K45" i="23"/>
  <c r="AC37" i="23"/>
  <c r="AE37" i="23" s="1"/>
  <c r="AA37" i="23"/>
  <c r="F39" i="23"/>
  <c r="H39" i="23"/>
  <c r="J39" i="23"/>
  <c r="L39" i="23"/>
  <c r="N39" i="23"/>
  <c r="P39" i="23"/>
  <c r="R39" i="23"/>
  <c r="T39" i="23"/>
  <c r="V39" i="23"/>
  <c r="X39" i="23"/>
  <c r="Z39" i="23"/>
  <c r="AB39" i="23"/>
  <c r="W37" i="23"/>
  <c r="U37" i="23"/>
  <c r="S37" i="23"/>
  <c r="Q37" i="23"/>
  <c r="O37" i="23"/>
  <c r="M37" i="23"/>
  <c r="K37" i="23"/>
  <c r="I37" i="23"/>
  <c r="G37" i="23"/>
  <c r="G81" i="18" l="1"/>
  <c r="G81" i="19"/>
  <c r="M81" i="19" s="1"/>
  <c r="S130" i="19"/>
  <c r="L130" i="17"/>
  <c r="G80" i="17"/>
  <c r="G80" i="19"/>
  <c r="M80" i="19" s="1"/>
  <c r="G90" i="9" l="1"/>
  <c r="G90" i="19"/>
  <c r="M90" i="19" s="1"/>
  <c r="G90" i="18"/>
  <c r="G89" i="17"/>
  <c r="G89" i="19"/>
  <c r="M89" i="19" s="1"/>
  <c r="G124" i="19"/>
  <c r="M124" i="19" s="1"/>
  <c r="G118" i="19" l="1"/>
  <c r="M118" i="19" s="1"/>
  <c r="G115" i="19"/>
  <c r="M115" i="19" s="1"/>
  <c r="G112" i="19"/>
  <c r="M112" i="19" s="1"/>
  <c r="G105" i="19"/>
  <c r="M105" i="19" s="1"/>
  <c r="G104" i="19"/>
  <c r="M104" i="19" s="1"/>
  <c r="G102" i="19"/>
  <c r="M102" i="19" s="1"/>
  <c r="G99" i="19"/>
  <c r="M99" i="19" s="1"/>
  <c r="G98" i="19"/>
  <c r="M98" i="19" s="1"/>
  <c r="G97" i="19"/>
  <c r="M97" i="19" s="1"/>
  <c r="G77" i="19"/>
  <c r="M77" i="19" s="1"/>
  <c r="G76" i="19"/>
  <c r="M76" i="19" s="1"/>
  <c r="G74" i="19"/>
  <c r="M74" i="19" s="1"/>
  <c r="G68" i="19"/>
  <c r="M68" i="19" s="1"/>
  <c r="G67" i="19"/>
  <c r="M67" i="19" s="1"/>
  <c r="G60" i="19"/>
  <c r="M60" i="19" s="1"/>
  <c r="G52" i="19"/>
  <c r="M52" i="19" s="1"/>
  <c r="G115" i="17"/>
  <c r="G50" i="17"/>
  <c r="G50" i="19"/>
  <c r="M50" i="19" s="1"/>
  <c r="G49" i="19"/>
  <c r="M49" i="19" s="1"/>
  <c r="G45" i="19"/>
  <c r="M45" i="19" s="1"/>
  <c r="G41" i="19"/>
  <c r="M41" i="19" s="1"/>
  <c r="G35" i="19"/>
  <c r="M35" i="19" s="1"/>
  <c r="G28" i="19"/>
  <c r="M28" i="19" s="1"/>
  <c r="G25" i="19"/>
  <c r="M25" i="19" s="1"/>
  <c r="G115" i="18" l="1"/>
  <c r="G98" i="18"/>
  <c r="G97" i="18"/>
  <c r="G98" i="17"/>
  <c r="G97" i="17"/>
  <c r="G115" i="16"/>
  <c r="G98" i="16"/>
  <c r="G97" i="16"/>
  <c r="G98" i="15"/>
  <c r="G97" i="15"/>
  <c r="G115" i="14" l="1"/>
  <c r="G97" i="14"/>
  <c r="G98" i="14"/>
  <c r="G101" i="14"/>
  <c r="G96" i="14"/>
  <c r="G95" i="14" s="1"/>
  <c r="G84" i="14"/>
  <c r="G73" i="14"/>
  <c r="G94" i="14" s="1"/>
  <c r="G55" i="14"/>
  <c r="G56" i="14"/>
  <c r="G47" i="14"/>
  <c r="G38" i="14"/>
  <c r="G30" i="14"/>
  <c r="G23" i="14"/>
  <c r="G22" i="14" s="1"/>
  <c r="G97" i="13"/>
  <c r="G98" i="13"/>
  <c r="G96" i="13" s="1"/>
  <c r="G95" i="13" s="1"/>
  <c r="G114" i="13"/>
  <c r="G101" i="13"/>
  <c r="G84" i="13"/>
  <c r="G75" i="13"/>
  <c r="G73" i="13"/>
  <c r="G93" i="13" s="1"/>
  <c r="G55" i="13"/>
  <c r="G56" i="13"/>
  <c r="G47" i="13"/>
  <c r="G38" i="13"/>
  <c r="G37" i="13" s="1"/>
  <c r="G70" i="13" s="1"/>
  <c r="G23" i="13"/>
  <c r="G22" i="13" s="1"/>
  <c r="G71" i="13" s="1"/>
  <c r="G98" i="12"/>
  <c r="G97" i="12"/>
  <c r="G115" i="12"/>
  <c r="G101" i="12"/>
  <c r="G96" i="12"/>
  <c r="G95" i="12" s="1"/>
  <c r="G84" i="12"/>
  <c r="G73" i="12"/>
  <c r="G94" i="12" s="1"/>
  <c r="G55" i="12"/>
  <c r="G56" i="12"/>
  <c r="G47" i="12"/>
  <c r="G38" i="12"/>
  <c r="G37" i="12" s="1"/>
  <c r="G70" i="12" s="1"/>
  <c r="G23" i="12"/>
  <c r="G22" i="12" s="1"/>
  <c r="G71" i="12" s="1"/>
  <c r="G71" i="14" l="1"/>
  <c r="G93" i="12"/>
  <c r="G109" i="12" s="1"/>
  <c r="G94" i="13"/>
  <c r="G109" i="13" s="1"/>
  <c r="G116" i="13" s="1"/>
  <c r="G70" i="14"/>
  <c r="G109" i="14" s="1"/>
  <c r="G93" i="14"/>
  <c r="G37" i="14"/>
  <c r="G108" i="13"/>
  <c r="G117" i="13" s="1"/>
  <c r="G115" i="10"/>
  <c r="G115" i="9"/>
  <c r="G52" i="9"/>
  <c r="G57" i="10"/>
  <c r="G56" i="10" s="1"/>
  <c r="G57" i="9"/>
  <c r="G79" i="9"/>
  <c r="G91" i="9"/>
  <c r="G98" i="9"/>
  <c r="G96" i="9" s="1"/>
  <c r="G114" i="9"/>
  <c r="G110" i="9"/>
  <c r="G90" i="10"/>
  <c r="G74" i="9"/>
  <c r="G73" i="9" s="1"/>
  <c r="G48" i="9"/>
  <c r="G24" i="10"/>
  <c r="G23" i="10" s="1"/>
  <c r="G101" i="10"/>
  <c r="G96" i="10"/>
  <c r="G84" i="10"/>
  <c r="G75" i="10"/>
  <c r="G73" i="10" s="1"/>
  <c r="G55" i="10"/>
  <c r="G47" i="10"/>
  <c r="G38" i="10"/>
  <c r="G30" i="10"/>
  <c r="G101" i="9"/>
  <c r="G84" i="9"/>
  <c r="G55" i="9"/>
  <c r="G56" i="9"/>
  <c r="G47" i="9"/>
  <c r="G38" i="9"/>
  <c r="G30" i="9"/>
  <c r="G23" i="9"/>
  <c r="G22" i="9" l="1"/>
  <c r="G108" i="12"/>
  <c r="G108" i="14"/>
  <c r="G121" i="13"/>
  <c r="G129" i="13" s="1"/>
  <c r="G94" i="9"/>
  <c r="G93" i="10"/>
  <c r="G94" i="10"/>
  <c r="G22" i="10"/>
  <c r="G37" i="10"/>
  <c r="G95" i="10"/>
  <c r="G93" i="9"/>
  <c r="G95" i="9"/>
  <c r="G37" i="9"/>
  <c r="G71" i="9" s="1"/>
  <c r="G115" i="21"/>
  <c r="G114" i="21"/>
  <c r="G107" i="21"/>
  <c r="G103" i="21"/>
  <c r="G101" i="21" s="1"/>
  <c r="G91" i="21"/>
  <c r="G83" i="21"/>
  <c r="G82" i="21"/>
  <c r="G80" i="21"/>
  <c r="G77" i="21"/>
  <c r="G75" i="21"/>
  <c r="G52" i="21"/>
  <c r="G27" i="21"/>
  <c r="G23" i="21" s="1"/>
  <c r="G22" i="21" s="1"/>
  <c r="G98" i="21"/>
  <c r="G97" i="21"/>
  <c r="G96" i="21"/>
  <c r="G84" i="21"/>
  <c r="G73" i="21"/>
  <c r="G94" i="21" s="1"/>
  <c r="G55" i="21"/>
  <c r="G56" i="21"/>
  <c r="G47" i="21"/>
  <c r="G38" i="21"/>
  <c r="G115" i="22"/>
  <c r="G101" i="22"/>
  <c r="G98" i="22"/>
  <c r="G97" i="22"/>
  <c r="G96" i="22"/>
  <c r="G95" i="22" s="1"/>
  <c r="G84" i="22"/>
  <c r="G75" i="22"/>
  <c r="G73" i="22" s="1"/>
  <c r="G93" i="22" s="1"/>
  <c r="G56" i="22"/>
  <c r="G55" i="22"/>
  <c r="G47" i="22"/>
  <c r="G38" i="22"/>
  <c r="G30" i="22"/>
  <c r="G25" i="22"/>
  <c r="G24" i="22"/>
  <c r="G23" i="22" s="1"/>
  <c r="G22" i="22" s="1"/>
  <c r="G117" i="12" l="1"/>
  <c r="G116" i="12"/>
  <c r="G37" i="22"/>
  <c r="G70" i="22" s="1"/>
  <c r="G117" i="14"/>
  <c r="G116" i="14"/>
  <c r="G120" i="14" s="1"/>
  <c r="G126" i="14" s="1"/>
  <c r="G70" i="9"/>
  <c r="G108" i="9" s="1"/>
  <c r="G70" i="10"/>
  <c r="G71" i="10"/>
  <c r="G109" i="9"/>
  <c r="G95" i="21"/>
  <c r="G37" i="21"/>
  <c r="G70" i="21" s="1"/>
  <c r="G93" i="21"/>
  <c r="G71" i="22"/>
  <c r="G94" i="22"/>
  <c r="G120" i="12" l="1"/>
  <c r="G121" i="12"/>
  <c r="G109" i="10"/>
  <c r="G108" i="10"/>
  <c r="G116" i="9"/>
  <c r="G117" i="9"/>
  <c r="G71" i="21"/>
  <c r="G109" i="21" s="1"/>
  <c r="G109" i="22"/>
  <c r="G108" i="22"/>
  <c r="G129" i="12" l="1"/>
  <c r="G117" i="10"/>
  <c r="G116" i="10"/>
  <c r="G121" i="9"/>
  <c r="G129" i="9" s="1"/>
  <c r="G108" i="21"/>
  <c r="G116" i="22"/>
  <c r="G117" i="22"/>
  <c r="G121" i="10" l="1"/>
  <c r="G120" i="10"/>
  <c r="G116" i="21"/>
  <c r="G117" i="21"/>
  <c r="G120" i="22"/>
  <c r="G121" i="22"/>
  <c r="G126" i="10" l="1"/>
  <c r="G121" i="21"/>
  <c r="G120" i="21"/>
  <c r="G126" i="22"/>
  <c r="G129" i="21" l="1"/>
  <c r="G126" i="21"/>
  <c r="G115" i="11" l="1"/>
  <c r="G114" i="11"/>
  <c r="G101" i="11"/>
  <c r="G96" i="11"/>
  <c r="G95" i="11" s="1"/>
  <c r="G84" i="11"/>
  <c r="G73" i="11"/>
  <c r="G56" i="11"/>
  <c r="G55" i="11"/>
  <c r="G47" i="11"/>
  <c r="G38" i="11"/>
  <c r="G30" i="11"/>
  <c r="G24" i="11"/>
  <c r="G23" i="11" s="1"/>
  <c r="G22" i="11" s="1"/>
  <c r="J22" i="22" s="1"/>
  <c r="G37" i="11" l="1"/>
  <c r="G94" i="11"/>
  <c r="G71" i="11"/>
  <c r="G70" i="11"/>
  <c r="G93" i="11"/>
  <c r="G108" i="11" l="1"/>
  <c r="G109" i="11"/>
  <c r="G116" i="11" l="1"/>
  <c r="G117" i="11"/>
  <c r="G120" i="11" l="1"/>
  <c r="G121" i="11"/>
  <c r="G129" i="11" l="1"/>
  <c r="J72" i="22" l="1"/>
  <c r="J122" i="22"/>
  <c r="J127" i="22"/>
  <c r="J128" i="22"/>
  <c r="J130" i="22"/>
  <c r="J131" i="22"/>
  <c r="J132" i="22"/>
  <c r="J133" i="22"/>
  <c r="J134" i="22"/>
  <c r="G25" i="18"/>
  <c r="AB62" i="23" l="1"/>
  <c r="AI115" i="23"/>
  <c r="AK115" i="23"/>
  <c r="AM115" i="23"/>
  <c r="AO115" i="23"/>
  <c r="AQ115" i="23"/>
  <c r="AS115" i="23"/>
  <c r="AU115" i="23"/>
  <c r="AW115" i="23"/>
  <c r="AY115" i="23"/>
  <c r="BA115" i="23"/>
  <c r="BC115" i="23"/>
  <c r="BE115" i="23"/>
  <c r="BG115" i="23"/>
  <c r="BK115" i="23"/>
  <c r="BM115" i="23"/>
  <c r="BO115" i="23"/>
  <c r="BQ115" i="23"/>
  <c r="BS115" i="23"/>
  <c r="BU115" i="23"/>
  <c r="BW115" i="23"/>
  <c r="BY115" i="23"/>
  <c r="CA115" i="23"/>
  <c r="CC115" i="23"/>
  <c r="CE115" i="23"/>
  <c r="CG115" i="23"/>
  <c r="CI115" i="23"/>
  <c r="AI114" i="23"/>
  <c r="AK114" i="23"/>
  <c r="AM114" i="23"/>
  <c r="AO114" i="23"/>
  <c r="AQ114" i="23"/>
  <c r="AS114" i="23"/>
  <c r="AU114" i="23"/>
  <c r="AW114" i="23"/>
  <c r="AY114" i="23"/>
  <c r="BA114" i="23"/>
  <c r="BC114" i="23"/>
  <c r="BE114" i="23"/>
  <c r="BG114" i="23"/>
  <c r="BK114" i="23"/>
  <c r="BM114" i="23"/>
  <c r="BO114" i="23"/>
  <c r="BQ114" i="23"/>
  <c r="BS114" i="23"/>
  <c r="BU114" i="23"/>
  <c r="BW114" i="23"/>
  <c r="BY114" i="23"/>
  <c r="CA114" i="23"/>
  <c r="CC114" i="23"/>
  <c r="CE114" i="23"/>
  <c r="CG114" i="23"/>
  <c r="CI114" i="23"/>
  <c r="BK5" i="23"/>
  <c r="BQ5" i="23"/>
  <c r="BS5" i="23"/>
  <c r="BU5" i="23"/>
  <c r="BW5" i="23"/>
  <c r="BY5" i="23"/>
  <c r="CA5" i="23"/>
  <c r="CC5" i="23"/>
  <c r="CE5" i="23"/>
  <c r="CG5" i="23"/>
  <c r="BA6" i="23"/>
  <c r="BK6" i="23"/>
  <c r="BM6" i="23"/>
  <c r="BO6" i="23"/>
  <c r="BQ6" i="23"/>
  <c r="BS6" i="23"/>
  <c r="BU6" i="23"/>
  <c r="BW6" i="23"/>
  <c r="BY6" i="23"/>
  <c r="CA6" i="23"/>
  <c r="CC6" i="23"/>
  <c r="CE6" i="23"/>
  <c r="BK7" i="23"/>
  <c r="BM7" i="23"/>
  <c r="BO7" i="23"/>
  <c r="BQ7" i="23"/>
  <c r="BS7" i="23"/>
  <c r="BU7" i="23"/>
  <c r="BW7" i="23"/>
  <c r="CA7" i="23"/>
  <c r="CC7" i="23"/>
  <c r="CE7" i="23"/>
  <c r="CG7" i="23"/>
  <c r="CI7" i="23"/>
  <c r="BK8" i="23"/>
  <c r="BM8" i="23"/>
  <c r="BO8" i="23"/>
  <c r="BQ8" i="23"/>
  <c r="BS8" i="23"/>
  <c r="BU8" i="23"/>
  <c r="BW8" i="23"/>
  <c r="CA8" i="23"/>
  <c r="CC8" i="23"/>
  <c r="CE8" i="23"/>
  <c r="CG8" i="23"/>
  <c r="CI8" i="23"/>
  <c r="BK9" i="23"/>
  <c r="BM9" i="23"/>
  <c r="BO9" i="23"/>
  <c r="BQ9" i="23"/>
  <c r="BS9" i="23"/>
  <c r="BU9" i="23"/>
  <c r="BW9" i="23"/>
  <c r="BY9" i="23"/>
  <c r="CA9" i="23"/>
  <c r="CC9" i="23"/>
  <c r="CE9" i="23"/>
  <c r="CG9" i="23"/>
  <c r="CI9" i="23"/>
  <c r="BK10" i="23"/>
  <c r="BM10" i="23"/>
  <c r="BO10" i="23"/>
  <c r="BQ10" i="23"/>
  <c r="BS10" i="23"/>
  <c r="BU10" i="23"/>
  <c r="BW10" i="23"/>
  <c r="CA10" i="23"/>
  <c r="CC10" i="23"/>
  <c r="CE10" i="23"/>
  <c r="CG10" i="23"/>
  <c r="CI10" i="23"/>
  <c r="BS11" i="23"/>
  <c r="CG11" i="23"/>
  <c r="BK12" i="23"/>
  <c r="BM12" i="23"/>
  <c r="BO12" i="23"/>
  <c r="BQ12" i="23"/>
  <c r="BS12" i="23"/>
  <c r="BU12" i="23"/>
  <c r="BW12" i="23"/>
  <c r="BY12" i="23"/>
  <c r="CA12" i="23"/>
  <c r="CC12" i="23"/>
  <c r="CE12" i="23"/>
  <c r="CG12" i="23"/>
  <c r="CI12" i="23"/>
  <c r="BK13" i="23"/>
  <c r="BM13" i="23"/>
  <c r="BO13" i="23"/>
  <c r="BQ13" i="23"/>
  <c r="BS13" i="23"/>
  <c r="BU13" i="23"/>
  <c r="BW13" i="23"/>
  <c r="BY13" i="23"/>
  <c r="CA13" i="23"/>
  <c r="CC13" i="23"/>
  <c r="CE13" i="23"/>
  <c r="CG13" i="23"/>
  <c r="CI13" i="23"/>
  <c r="BK14" i="23"/>
  <c r="BM14" i="23"/>
  <c r="BO14" i="23"/>
  <c r="BQ14" i="23"/>
  <c r="BS14" i="23"/>
  <c r="BU14" i="23"/>
  <c r="BW14" i="23"/>
  <c r="BY14" i="23"/>
  <c r="CA14" i="23"/>
  <c r="CC14" i="23"/>
  <c r="CE14" i="23"/>
  <c r="CG14" i="23"/>
  <c r="CI14" i="23"/>
  <c r="BK15" i="23"/>
  <c r="BM15" i="23"/>
  <c r="BO15" i="23"/>
  <c r="BQ15" i="23"/>
  <c r="BS15" i="23"/>
  <c r="BU15" i="23"/>
  <c r="BW15" i="23"/>
  <c r="BY15" i="23"/>
  <c r="CA15" i="23"/>
  <c r="CC15" i="23"/>
  <c r="CE15" i="23"/>
  <c r="CG15" i="23"/>
  <c r="CI15" i="23"/>
  <c r="BK16" i="23"/>
  <c r="BM16" i="23"/>
  <c r="G46" i="23" s="1"/>
  <c r="BO16" i="23"/>
  <c r="I46" i="23" s="1"/>
  <c r="BQ16" i="23"/>
  <c r="BS16" i="23"/>
  <c r="M46" i="23" s="1"/>
  <c r="BU16" i="23"/>
  <c r="O46" i="23" s="1"/>
  <c r="BW16" i="23"/>
  <c r="CA16" i="23"/>
  <c r="CC16" i="23"/>
  <c r="W46" i="23" s="1"/>
  <c r="CE16" i="23"/>
  <c r="Y46" i="23" s="1"/>
  <c r="CG16" i="23"/>
  <c r="AA46" i="23" s="1"/>
  <c r="CI16" i="23"/>
  <c r="AC46" i="23" s="1"/>
  <c r="AE46" i="23" s="1"/>
  <c r="BK17" i="23"/>
  <c r="BM17" i="23"/>
  <c r="G47" i="23" s="1"/>
  <c r="BO17" i="23"/>
  <c r="I47" i="23" s="1"/>
  <c r="BQ17" i="23"/>
  <c r="BS17" i="23"/>
  <c r="M47" i="23" s="1"/>
  <c r="BU17" i="23"/>
  <c r="O47" i="23" s="1"/>
  <c r="BW17" i="23"/>
  <c r="CA17" i="23"/>
  <c r="CC17" i="23"/>
  <c r="W47" i="23" s="1"/>
  <c r="CE17" i="23"/>
  <c r="Y47" i="23" s="1"/>
  <c r="CG17" i="23"/>
  <c r="AA47" i="23" s="1"/>
  <c r="CI17" i="23"/>
  <c r="AC47" i="23" s="1"/>
  <c r="AE47" i="23" s="1"/>
  <c r="BK20" i="23"/>
  <c r="BM20" i="23"/>
  <c r="BO20" i="23"/>
  <c r="BQ20" i="23"/>
  <c r="BS20" i="23"/>
  <c r="BU20" i="23"/>
  <c r="BW20" i="23"/>
  <c r="BY20" i="23"/>
  <c r="CA20" i="23"/>
  <c r="CC20" i="23"/>
  <c r="CE20" i="23"/>
  <c r="CG20" i="23"/>
  <c r="CI20" i="23"/>
  <c r="BK21" i="23"/>
  <c r="BM21" i="23"/>
  <c r="BO21" i="23"/>
  <c r="BQ21" i="23"/>
  <c r="BS21" i="23"/>
  <c r="BU21" i="23"/>
  <c r="BW21" i="23"/>
  <c r="BY21" i="23"/>
  <c r="CA21" i="23"/>
  <c r="CC21" i="23"/>
  <c r="CE21" i="23"/>
  <c r="CG21" i="23"/>
  <c r="CI21" i="23"/>
  <c r="BK22" i="23"/>
  <c r="BM22" i="23"/>
  <c r="BO22" i="23"/>
  <c r="BQ22" i="23"/>
  <c r="BS22" i="23"/>
  <c r="BU22" i="23"/>
  <c r="BW22" i="23"/>
  <c r="BY22" i="23"/>
  <c r="CA22" i="23"/>
  <c r="CC22" i="23"/>
  <c r="CE22" i="23"/>
  <c r="CG22" i="23"/>
  <c r="CI22" i="23"/>
  <c r="BK23" i="23"/>
  <c r="BM23" i="23"/>
  <c r="BO23" i="23"/>
  <c r="BQ23" i="23"/>
  <c r="BS23" i="23"/>
  <c r="BU23" i="23"/>
  <c r="BW23" i="23"/>
  <c r="BY23" i="23"/>
  <c r="CA23" i="23"/>
  <c r="CC23" i="23"/>
  <c r="CE23" i="23"/>
  <c r="CG23" i="23"/>
  <c r="CI23" i="23"/>
  <c r="BK24" i="23"/>
  <c r="BM24" i="23"/>
  <c r="BO24" i="23"/>
  <c r="BQ24" i="23"/>
  <c r="BS24" i="23"/>
  <c r="BU24" i="23"/>
  <c r="BW24" i="23"/>
  <c r="BY24" i="23"/>
  <c r="CA24" i="23"/>
  <c r="CC24" i="23"/>
  <c r="CE24" i="23"/>
  <c r="CG24" i="23"/>
  <c r="CI24" i="23"/>
  <c r="BK25" i="23"/>
  <c r="BM25" i="23"/>
  <c r="BO25" i="23"/>
  <c r="BQ25" i="23"/>
  <c r="BS25" i="23"/>
  <c r="BU25" i="23"/>
  <c r="BW25" i="23"/>
  <c r="BY25" i="23"/>
  <c r="CA25" i="23"/>
  <c r="CC25" i="23"/>
  <c r="CE25" i="23"/>
  <c r="CG25" i="23"/>
  <c r="CI25" i="23"/>
  <c r="BK26" i="23"/>
  <c r="BM26" i="23"/>
  <c r="BO26" i="23"/>
  <c r="BQ26" i="23"/>
  <c r="BS26" i="23"/>
  <c r="BU26" i="23"/>
  <c r="BW26" i="23"/>
  <c r="BY26" i="23"/>
  <c r="CA26" i="23"/>
  <c r="CC26" i="23"/>
  <c r="CE26" i="23"/>
  <c r="CG26" i="23"/>
  <c r="CI26" i="23"/>
  <c r="BK27" i="23"/>
  <c r="BM27" i="23"/>
  <c r="BO27" i="23"/>
  <c r="BQ27" i="23"/>
  <c r="BS27" i="23"/>
  <c r="BU27" i="23"/>
  <c r="BW27" i="23"/>
  <c r="BY27" i="23"/>
  <c r="CA27" i="23"/>
  <c r="CC27" i="23"/>
  <c r="CE27" i="23"/>
  <c r="CG27" i="23"/>
  <c r="CI27" i="23"/>
  <c r="BK29" i="23"/>
  <c r="BO29" i="23"/>
  <c r="BQ29" i="23"/>
  <c r="BS29" i="23"/>
  <c r="BU29" i="23"/>
  <c r="BW29" i="23"/>
  <c r="BY29" i="23"/>
  <c r="CA29" i="23"/>
  <c r="CC29" i="23"/>
  <c r="CE29" i="23"/>
  <c r="CG29" i="23"/>
  <c r="CI29" i="23"/>
  <c r="BK30" i="23"/>
  <c r="BM30" i="23"/>
  <c r="BO30" i="23"/>
  <c r="BQ30" i="23"/>
  <c r="BS30" i="23"/>
  <c r="BU30" i="23"/>
  <c r="BW30" i="23"/>
  <c r="CA30" i="23"/>
  <c r="CC30" i="23"/>
  <c r="CE30" i="23"/>
  <c r="CG30" i="23"/>
  <c r="CI30" i="23"/>
  <c r="BK31" i="23"/>
  <c r="BM31" i="23"/>
  <c r="BO31" i="23"/>
  <c r="BQ31" i="23"/>
  <c r="BS31" i="23"/>
  <c r="BU31" i="23"/>
  <c r="BW31" i="23"/>
  <c r="BY31" i="23"/>
  <c r="CA31" i="23"/>
  <c r="CC31" i="23"/>
  <c r="CE31" i="23"/>
  <c r="CG31" i="23"/>
  <c r="CI31" i="23"/>
  <c r="BK32" i="23"/>
  <c r="BM32" i="23"/>
  <c r="BO32" i="23"/>
  <c r="BQ32" i="23"/>
  <c r="BS32" i="23"/>
  <c r="BU32" i="23"/>
  <c r="BW32" i="23"/>
  <c r="BY32" i="23"/>
  <c r="CA32" i="23"/>
  <c r="CC32" i="23"/>
  <c r="CE32" i="23"/>
  <c r="CG32" i="23"/>
  <c r="CI32" i="23"/>
  <c r="BK33" i="23"/>
  <c r="BM33" i="23"/>
  <c r="BO33" i="23"/>
  <c r="BQ33" i="23"/>
  <c r="BS33" i="23"/>
  <c r="BU33" i="23"/>
  <c r="BW33" i="23"/>
  <c r="CA33" i="23"/>
  <c r="CC33" i="23"/>
  <c r="CE33" i="23"/>
  <c r="CG33" i="23"/>
  <c r="CI33" i="23"/>
  <c r="BK34" i="23"/>
  <c r="BM34" i="23"/>
  <c r="BO34" i="23"/>
  <c r="BQ34" i="23"/>
  <c r="BS34" i="23"/>
  <c r="BU34" i="23"/>
  <c r="BW34" i="23"/>
  <c r="BY34" i="23"/>
  <c r="CA34" i="23"/>
  <c r="CC34" i="23"/>
  <c r="CE34" i="23"/>
  <c r="CG34" i="23"/>
  <c r="CI34" i="23"/>
  <c r="BK35" i="23"/>
  <c r="BM35" i="23"/>
  <c r="BO35" i="23"/>
  <c r="BQ35" i="23"/>
  <c r="BS35" i="23"/>
  <c r="BU35" i="23"/>
  <c r="BW35" i="23"/>
  <c r="CA35" i="23"/>
  <c r="CC35" i="23"/>
  <c r="CE35" i="23"/>
  <c r="CI35" i="23"/>
  <c r="BK38" i="23"/>
  <c r="BM38" i="23"/>
  <c r="BO38" i="23"/>
  <c r="BQ38" i="23"/>
  <c r="BS38" i="23"/>
  <c r="BU38" i="23"/>
  <c r="BW38" i="23"/>
  <c r="BY38" i="23"/>
  <c r="CA38" i="23"/>
  <c r="CC38" i="23"/>
  <c r="CE38" i="23"/>
  <c r="CG38" i="23"/>
  <c r="CI38" i="23"/>
  <c r="BK39" i="23"/>
  <c r="BM39" i="23"/>
  <c r="BO39" i="23"/>
  <c r="BQ39" i="23"/>
  <c r="BS39" i="23"/>
  <c r="BU39" i="23"/>
  <c r="BW39" i="23"/>
  <c r="BY39" i="23"/>
  <c r="CA39" i="23"/>
  <c r="CC39" i="23"/>
  <c r="CE39" i="23"/>
  <c r="CG39" i="23"/>
  <c r="CI39" i="23"/>
  <c r="BK40" i="23"/>
  <c r="BM40" i="23"/>
  <c r="BO40" i="23"/>
  <c r="BQ40" i="23"/>
  <c r="BS40" i="23"/>
  <c r="BU40" i="23"/>
  <c r="BW40" i="23"/>
  <c r="CA40" i="23"/>
  <c r="CC40" i="23"/>
  <c r="CE40" i="23"/>
  <c r="CG40" i="23"/>
  <c r="CI40" i="23"/>
  <c r="BK41" i="23"/>
  <c r="BM41" i="23"/>
  <c r="BO41" i="23"/>
  <c r="BQ41" i="23"/>
  <c r="BS41" i="23"/>
  <c r="BU41" i="23"/>
  <c r="BW41" i="23"/>
  <c r="CA41" i="23"/>
  <c r="CC41" i="23"/>
  <c r="CE41" i="23"/>
  <c r="CG41" i="23"/>
  <c r="CI41" i="23"/>
  <c r="BK42" i="23"/>
  <c r="BM42" i="23"/>
  <c r="BO42" i="23"/>
  <c r="BQ42" i="23"/>
  <c r="BS42" i="23"/>
  <c r="BU42" i="23"/>
  <c r="BW42" i="23"/>
  <c r="CA42" i="23"/>
  <c r="CC42" i="23"/>
  <c r="CE42" i="23"/>
  <c r="CG42" i="23"/>
  <c r="CI42" i="23"/>
  <c r="BK43" i="23"/>
  <c r="BM43" i="23"/>
  <c r="BO43" i="23"/>
  <c r="BQ43" i="23"/>
  <c r="BS43" i="23"/>
  <c r="BU43" i="23"/>
  <c r="BW43" i="23"/>
  <c r="BY43" i="23"/>
  <c r="CA43" i="23"/>
  <c r="CC43" i="23"/>
  <c r="CE43" i="23"/>
  <c r="CG43" i="23"/>
  <c r="CI43" i="23"/>
  <c r="BK44" i="23"/>
  <c r="BM44" i="23"/>
  <c r="BO44" i="23"/>
  <c r="BQ44" i="23"/>
  <c r="BS44" i="23"/>
  <c r="BU44" i="23"/>
  <c r="BW44" i="23"/>
  <c r="BY44" i="23"/>
  <c r="CA44" i="23"/>
  <c r="CC44" i="23"/>
  <c r="CE44" i="23"/>
  <c r="CG44" i="23"/>
  <c r="CI44" i="23"/>
  <c r="BK45" i="23"/>
  <c r="BM45" i="23"/>
  <c r="BO45" i="23"/>
  <c r="BQ45" i="23"/>
  <c r="BS45" i="23"/>
  <c r="BU45" i="23"/>
  <c r="BW45" i="23"/>
  <c r="BY45" i="23"/>
  <c r="CA45" i="23"/>
  <c r="CC45" i="23"/>
  <c r="CE45" i="23"/>
  <c r="CG45" i="23"/>
  <c r="CI45" i="23"/>
  <c r="BK46" i="23"/>
  <c r="BM46" i="23"/>
  <c r="G53" i="23" s="1"/>
  <c r="BO46" i="23"/>
  <c r="I53" i="23" s="1"/>
  <c r="BQ46" i="23"/>
  <c r="BS46" i="23"/>
  <c r="M53" i="23" s="1"/>
  <c r="BU46" i="23"/>
  <c r="O53" i="23" s="1"/>
  <c r="BW46" i="23"/>
  <c r="BY46" i="23"/>
  <c r="CA46" i="23"/>
  <c r="CC46" i="23"/>
  <c r="W53" i="23" s="1"/>
  <c r="CE46" i="23"/>
  <c r="Y53" i="23" s="1"/>
  <c r="CI46" i="23"/>
  <c r="AC53" i="23" s="1"/>
  <c r="AE53" i="23" s="1"/>
  <c r="BK47" i="23"/>
  <c r="BM47" i="23"/>
  <c r="BO47" i="23"/>
  <c r="BQ47" i="23"/>
  <c r="BS47" i="23"/>
  <c r="BU47" i="23"/>
  <c r="BW47" i="23"/>
  <c r="BY47" i="23"/>
  <c r="CA47" i="23"/>
  <c r="CC47" i="23"/>
  <c r="CE47" i="23"/>
  <c r="CG47" i="23"/>
  <c r="CI47" i="23"/>
  <c r="BK48" i="23"/>
  <c r="BM48" i="23"/>
  <c r="G54" i="23" s="1"/>
  <c r="BO48" i="23"/>
  <c r="I54" i="23" s="1"/>
  <c r="BQ48" i="23"/>
  <c r="BS48" i="23"/>
  <c r="M54" i="23" s="1"/>
  <c r="BU48" i="23"/>
  <c r="O54" i="23" s="1"/>
  <c r="BW48" i="23"/>
  <c r="BY48" i="23"/>
  <c r="CA48" i="23"/>
  <c r="CC48" i="23"/>
  <c r="W54" i="23" s="1"/>
  <c r="CE48" i="23"/>
  <c r="Y54" i="23" s="1"/>
  <c r="CG48" i="23"/>
  <c r="AA54" i="23" s="1"/>
  <c r="CI48" i="23"/>
  <c r="AC54" i="23" s="1"/>
  <c r="AE54" i="23" s="1"/>
  <c r="BK49" i="23"/>
  <c r="BM49" i="23"/>
  <c r="G55" i="23" s="1"/>
  <c r="BO49" i="23"/>
  <c r="I55" i="23" s="1"/>
  <c r="BQ49" i="23"/>
  <c r="BS49" i="23"/>
  <c r="M55" i="23" s="1"/>
  <c r="BU49" i="23"/>
  <c r="O55" i="23" s="1"/>
  <c r="BW49" i="23"/>
  <c r="BY49" i="23"/>
  <c r="CA49" i="23"/>
  <c r="CC49" i="23"/>
  <c r="W55" i="23" s="1"/>
  <c r="CE49" i="23"/>
  <c r="Y55" i="23" s="1"/>
  <c r="CI49" i="23"/>
  <c r="AC55" i="23" s="1"/>
  <c r="AE55" i="23" s="1"/>
  <c r="BK50" i="23"/>
  <c r="BM50" i="23"/>
  <c r="G56" i="23" s="1"/>
  <c r="BO50" i="23"/>
  <c r="I56" i="23" s="1"/>
  <c r="BQ50" i="23"/>
  <c r="BS50" i="23"/>
  <c r="M56" i="23" s="1"/>
  <c r="BU50" i="23"/>
  <c r="O56" i="23" s="1"/>
  <c r="BW50" i="23"/>
  <c r="BY50" i="23"/>
  <c r="CA50" i="23"/>
  <c r="CC50" i="23"/>
  <c r="W56" i="23" s="1"/>
  <c r="CE50" i="23"/>
  <c r="Y56" i="23" s="1"/>
  <c r="CG50" i="23"/>
  <c r="AA56" i="23" s="1"/>
  <c r="CI50" i="23"/>
  <c r="AC56" i="23" s="1"/>
  <c r="AE56" i="23" s="1"/>
  <c r="AI53" i="23"/>
  <c r="AK53" i="23"/>
  <c r="AM53" i="23"/>
  <c r="AO53" i="23"/>
  <c r="AQ53" i="23"/>
  <c r="AS53" i="23"/>
  <c r="AU53" i="23"/>
  <c r="AW53" i="23"/>
  <c r="AY53" i="23"/>
  <c r="BA53" i="23"/>
  <c r="BC53" i="23"/>
  <c r="BE53" i="23"/>
  <c r="BG53" i="23"/>
  <c r="BK53" i="23"/>
  <c r="BM53" i="23"/>
  <c r="BO53" i="23"/>
  <c r="BQ53" i="23"/>
  <c r="BS53" i="23"/>
  <c r="BU53" i="23"/>
  <c r="BW53" i="23"/>
  <c r="BY53" i="23"/>
  <c r="CA53" i="23"/>
  <c r="CC53" i="23"/>
  <c r="CE53" i="23"/>
  <c r="CG53" i="23"/>
  <c r="CI53" i="23"/>
  <c r="BK55" i="23"/>
  <c r="BM55" i="23"/>
  <c r="BO55" i="23"/>
  <c r="BQ55" i="23"/>
  <c r="BS55" i="23"/>
  <c r="BU55" i="23"/>
  <c r="BW55" i="23"/>
  <c r="BY55" i="23"/>
  <c r="CA55" i="23"/>
  <c r="CC55" i="23"/>
  <c r="CE55" i="23"/>
  <c r="CG55" i="23"/>
  <c r="CI55" i="23"/>
  <c r="BK56" i="23"/>
  <c r="BM56" i="23"/>
  <c r="BO56" i="23"/>
  <c r="BQ56" i="23"/>
  <c r="BS56" i="23"/>
  <c r="BU56" i="23"/>
  <c r="BW56" i="23"/>
  <c r="BY56" i="23"/>
  <c r="CA56" i="23"/>
  <c r="CC56" i="23"/>
  <c r="CE56" i="23"/>
  <c r="CG56" i="23"/>
  <c r="BK57" i="23"/>
  <c r="BM57" i="23"/>
  <c r="BO57" i="23"/>
  <c r="BQ57" i="23"/>
  <c r="BS57" i="23"/>
  <c r="BU57" i="23"/>
  <c r="BW57" i="23"/>
  <c r="BY57" i="23"/>
  <c r="CA57" i="23"/>
  <c r="CC57" i="23"/>
  <c r="CE57" i="23"/>
  <c r="CG57" i="23"/>
  <c r="CI57" i="23"/>
  <c r="BK58" i="23"/>
  <c r="BM58" i="23"/>
  <c r="BO58" i="23"/>
  <c r="BQ58" i="23"/>
  <c r="BS58" i="23"/>
  <c r="BU58" i="23"/>
  <c r="BW58" i="23"/>
  <c r="BY58" i="23"/>
  <c r="CA58" i="23"/>
  <c r="CC58" i="23"/>
  <c r="CE58" i="23"/>
  <c r="CG58" i="23"/>
  <c r="CI58" i="23"/>
  <c r="BK59" i="23"/>
  <c r="BM59" i="23"/>
  <c r="BO59" i="23"/>
  <c r="BQ59" i="23"/>
  <c r="BS59" i="23"/>
  <c r="BU59" i="23"/>
  <c r="BW59" i="23"/>
  <c r="BY59" i="23"/>
  <c r="CA59" i="23"/>
  <c r="CC59" i="23"/>
  <c r="CE59" i="23"/>
  <c r="CG59" i="23"/>
  <c r="CI59" i="23"/>
  <c r="BK60" i="23"/>
  <c r="BM60" i="23"/>
  <c r="BO60" i="23"/>
  <c r="BQ60" i="23"/>
  <c r="BS60" i="23"/>
  <c r="BU60" i="23"/>
  <c r="BW60" i="23"/>
  <c r="CA60" i="23"/>
  <c r="CC60" i="23"/>
  <c r="CE60" i="23"/>
  <c r="CG60" i="23"/>
  <c r="CI60" i="23"/>
  <c r="BK61" i="23"/>
  <c r="BO61" i="23"/>
  <c r="BQ61" i="23"/>
  <c r="BS61" i="23"/>
  <c r="BU61" i="23"/>
  <c r="BW61" i="23"/>
  <c r="BY61" i="23"/>
  <c r="CA61" i="23"/>
  <c r="CI61" i="23"/>
  <c r="BK62" i="23"/>
  <c r="BM62" i="23"/>
  <c r="BO62" i="23"/>
  <c r="BQ62" i="23"/>
  <c r="BS62" i="23"/>
  <c r="BU62" i="23"/>
  <c r="BW62" i="23"/>
  <c r="BY62" i="23"/>
  <c r="CA62" i="23"/>
  <c r="CC62" i="23"/>
  <c r="CE62" i="23"/>
  <c r="CG62" i="23"/>
  <c r="CI62" i="23"/>
  <c r="BK63" i="23"/>
  <c r="BM63" i="23"/>
  <c r="BO63" i="23"/>
  <c r="BQ63" i="23"/>
  <c r="BS63" i="23"/>
  <c r="BU63" i="23"/>
  <c r="BW63" i="23"/>
  <c r="CA63" i="23"/>
  <c r="CC63" i="23"/>
  <c r="CE63" i="23"/>
  <c r="CI63" i="23"/>
  <c r="BK64" i="23"/>
  <c r="BM64" i="23"/>
  <c r="BO64" i="23"/>
  <c r="BQ64" i="23"/>
  <c r="BS64" i="23"/>
  <c r="BU64" i="23"/>
  <c r="BW64" i="23"/>
  <c r="BY64" i="23"/>
  <c r="CA64" i="23"/>
  <c r="CC64" i="23"/>
  <c r="CE64" i="23"/>
  <c r="CG64" i="23"/>
  <c r="CI64" i="23"/>
  <c r="CA65" i="23"/>
  <c r="BK66" i="23"/>
  <c r="BM66" i="23"/>
  <c r="BO66" i="23"/>
  <c r="BQ66" i="23"/>
  <c r="BS66" i="23"/>
  <c r="BU66" i="23"/>
  <c r="BW66" i="23"/>
  <c r="BY66" i="23"/>
  <c r="CA66" i="23"/>
  <c r="CC66" i="23"/>
  <c r="CE66" i="23"/>
  <c r="CG66" i="23"/>
  <c r="CI66" i="23"/>
  <c r="BK67" i="23"/>
  <c r="BM67" i="23"/>
  <c r="BO67" i="23"/>
  <c r="BQ67" i="23"/>
  <c r="BS67" i="23"/>
  <c r="BU67" i="23"/>
  <c r="BW67" i="23"/>
  <c r="BY67" i="23"/>
  <c r="CA67" i="23"/>
  <c r="CC67" i="23"/>
  <c r="CE67" i="23"/>
  <c r="CG67" i="23"/>
  <c r="CI67" i="23"/>
  <c r="BK68" i="23"/>
  <c r="BM68" i="23"/>
  <c r="BO68" i="23"/>
  <c r="BQ68" i="23"/>
  <c r="BS68" i="23"/>
  <c r="BU68" i="23"/>
  <c r="BW68" i="23"/>
  <c r="BY68" i="23"/>
  <c r="CA68" i="23"/>
  <c r="CC68" i="23"/>
  <c r="CE68" i="23"/>
  <c r="CG68" i="23"/>
  <c r="CI68" i="23"/>
  <c r="BK69" i="23"/>
  <c r="BM69" i="23"/>
  <c r="BO69" i="23"/>
  <c r="BQ69" i="23"/>
  <c r="BS69" i="23"/>
  <c r="BU69" i="23"/>
  <c r="BW69" i="23"/>
  <c r="BY69" i="23"/>
  <c r="CA69" i="23"/>
  <c r="CC69" i="23"/>
  <c r="CE69" i="23"/>
  <c r="CG69" i="23"/>
  <c r="CI69" i="23"/>
  <c r="BK70" i="23"/>
  <c r="BM70" i="23"/>
  <c r="BO70" i="23"/>
  <c r="BQ70" i="23"/>
  <c r="BS70" i="23"/>
  <c r="BU70" i="23"/>
  <c r="BW70" i="23"/>
  <c r="CA70" i="23"/>
  <c r="CG70" i="23"/>
  <c r="CI70" i="23"/>
  <c r="BK71" i="23"/>
  <c r="BM71" i="23"/>
  <c r="BO71" i="23"/>
  <c r="BQ71" i="23"/>
  <c r="BS71" i="23"/>
  <c r="BU71" i="23"/>
  <c r="BW71" i="23"/>
  <c r="BY71" i="23"/>
  <c r="CA71" i="23"/>
  <c r="CC71" i="23"/>
  <c r="CE71" i="23"/>
  <c r="CG71" i="23"/>
  <c r="CI71" i="23"/>
  <c r="BK72" i="23"/>
  <c r="BM72" i="23"/>
  <c r="BO72" i="23"/>
  <c r="BQ72" i="23"/>
  <c r="BS72" i="23"/>
  <c r="BU72" i="23"/>
  <c r="BW72" i="23"/>
  <c r="BY72" i="23"/>
  <c r="CA72" i="23"/>
  <c r="CC72" i="23"/>
  <c r="CE72" i="23"/>
  <c r="CG72" i="23"/>
  <c r="CI72" i="23"/>
  <c r="BK73" i="23"/>
  <c r="BM73" i="23"/>
  <c r="BO73" i="23"/>
  <c r="BQ73" i="23"/>
  <c r="BS73" i="23"/>
  <c r="BU73" i="23"/>
  <c r="BW73" i="23"/>
  <c r="BY73" i="23"/>
  <c r="CA73" i="23"/>
  <c r="CC73" i="23"/>
  <c r="CE73" i="23"/>
  <c r="CG73" i="23"/>
  <c r="CI73" i="23"/>
  <c r="BK78" i="23"/>
  <c r="BM78" i="23"/>
  <c r="BO78" i="23"/>
  <c r="CI78" i="23"/>
  <c r="BK79" i="23"/>
  <c r="BM79" i="23"/>
  <c r="BO79" i="23"/>
  <c r="CI79" i="23"/>
  <c r="BK80" i="23"/>
  <c r="BM80" i="23"/>
  <c r="BO80" i="23"/>
  <c r="BS80" i="23"/>
  <c r="BU80" i="23"/>
  <c r="BW80" i="23"/>
  <c r="BY80" i="23"/>
  <c r="CA80" i="23"/>
  <c r="CC80" i="23"/>
  <c r="CE80" i="23"/>
  <c r="CG80" i="23"/>
  <c r="CI80" i="23"/>
  <c r="BK81" i="23"/>
  <c r="BM81" i="23"/>
  <c r="BO81" i="23"/>
  <c r="BQ81" i="23"/>
  <c r="BS81" i="23"/>
  <c r="BU81" i="23"/>
  <c r="BW81" i="23"/>
  <c r="CA81" i="23"/>
  <c r="CC81" i="23"/>
  <c r="CE81" i="23"/>
  <c r="CG81" i="23"/>
  <c r="CI81" i="23"/>
  <c r="BK83" i="23"/>
  <c r="BO83" i="23"/>
  <c r="BQ83" i="23"/>
  <c r="BS83" i="23"/>
  <c r="BU83" i="23"/>
  <c r="BW83" i="23"/>
  <c r="BY83" i="23"/>
  <c r="CA83" i="23"/>
  <c r="CC83" i="23"/>
  <c r="CE83" i="23"/>
  <c r="CG83" i="23"/>
  <c r="CI83" i="23"/>
  <c r="BK84" i="23"/>
  <c r="BM84" i="23"/>
  <c r="BO84" i="23"/>
  <c r="BQ84" i="23"/>
  <c r="BS84" i="23"/>
  <c r="BU84" i="23"/>
  <c r="BW84" i="23"/>
  <c r="CA84" i="23"/>
  <c r="CC84" i="23"/>
  <c r="CE84" i="23"/>
  <c r="CG84" i="23"/>
  <c r="CI84" i="23"/>
  <c r="BK85" i="23"/>
  <c r="BM85" i="23"/>
  <c r="BO85" i="23"/>
  <c r="BQ85" i="23"/>
  <c r="BS85" i="23"/>
  <c r="BU85" i="23"/>
  <c r="BW85" i="23"/>
  <c r="CA85" i="23"/>
  <c r="CC85" i="23"/>
  <c r="CE85" i="23"/>
  <c r="CG85" i="23"/>
  <c r="CI85" i="23"/>
  <c r="BK86" i="23"/>
  <c r="BO86" i="23"/>
  <c r="BQ86" i="23"/>
  <c r="BS86" i="23"/>
  <c r="BU86" i="23"/>
  <c r="BW86" i="23"/>
  <c r="CA86" i="23"/>
  <c r="CC86" i="23"/>
  <c r="CE86" i="23"/>
  <c r="CG86" i="23"/>
  <c r="CI86" i="23"/>
  <c r="BK87" i="23"/>
  <c r="BM87" i="23"/>
  <c r="G66" i="23" s="1"/>
  <c r="BO87" i="23"/>
  <c r="I66" i="23" s="1"/>
  <c r="BQ87" i="23"/>
  <c r="BS87" i="23"/>
  <c r="M66" i="23" s="1"/>
  <c r="BU87" i="23"/>
  <c r="O66" i="23" s="1"/>
  <c r="BW87" i="23"/>
  <c r="BY87" i="23"/>
  <c r="CA87" i="23"/>
  <c r="CC87" i="23"/>
  <c r="W66" i="23" s="1"/>
  <c r="CE87" i="23"/>
  <c r="Y66" i="23" s="1"/>
  <c r="CG87" i="23"/>
  <c r="AA66" i="23" s="1"/>
  <c r="CI87" i="23"/>
  <c r="AC66" i="23" s="1"/>
  <c r="AE66" i="23" s="1"/>
  <c r="BK88" i="23"/>
  <c r="BM88" i="23"/>
  <c r="G67" i="23" s="1"/>
  <c r="BO88" i="23"/>
  <c r="I67" i="23" s="1"/>
  <c r="BQ88" i="23"/>
  <c r="BS88" i="23"/>
  <c r="M67" i="23" s="1"/>
  <c r="BU88" i="23"/>
  <c r="O67" i="23" s="1"/>
  <c r="BW88" i="23"/>
  <c r="CA88" i="23"/>
  <c r="CC88" i="23"/>
  <c r="W67" i="23" s="1"/>
  <c r="CE88" i="23"/>
  <c r="Y67" i="23" s="1"/>
  <c r="CG88" i="23"/>
  <c r="AA67" i="23" s="1"/>
  <c r="CI88" i="23"/>
  <c r="AC67" i="23" s="1"/>
  <c r="AE67" i="23" s="1"/>
  <c r="BK91" i="23"/>
  <c r="BM91" i="23"/>
  <c r="G71" i="23" s="1"/>
  <c r="BO91" i="23"/>
  <c r="I71" i="23" s="1"/>
  <c r="BQ91" i="23"/>
  <c r="BS91" i="23"/>
  <c r="M71" i="23" s="1"/>
  <c r="BU91" i="23"/>
  <c r="O71" i="23" s="1"/>
  <c r="BW91" i="23"/>
  <c r="CA91" i="23"/>
  <c r="CC91" i="23"/>
  <c r="W71" i="23" s="1"/>
  <c r="CE91" i="23"/>
  <c r="Y71" i="23" s="1"/>
  <c r="CG91" i="23"/>
  <c r="AA71" i="23" s="1"/>
  <c r="CI91" i="23"/>
  <c r="AC71" i="23" s="1"/>
  <c r="AE71" i="23" s="1"/>
  <c r="BK92" i="23"/>
  <c r="BM92" i="23"/>
  <c r="G72" i="23" s="1"/>
  <c r="BO92" i="23"/>
  <c r="I72" i="23" s="1"/>
  <c r="BQ92" i="23"/>
  <c r="BS92" i="23"/>
  <c r="M72" i="23" s="1"/>
  <c r="BU92" i="23"/>
  <c r="O72" i="23" s="1"/>
  <c r="BW92" i="23"/>
  <c r="CA92" i="23"/>
  <c r="CC92" i="23"/>
  <c r="W72" i="23" s="1"/>
  <c r="CE92" i="23"/>
  <c r="Y72" i="23" s="1"/>
  <c r="CG92" i="23"/>
  <c r="AA72" i="23" s="1"/>
  <c r="CI92" i="23"/>
  <c r="AC72" i="23" s="1"/>
  <c r="AE72" i="23" s="1"/>
  <c r="BK93" i="23"/>
  <c r="BM93" i="23"/>
  <c r="G73" i="23" s="1"/>
  <c r="BO93" i="23"/>
  <c r="I73" i="23" s="1"/>
  <c r="BQ93" i="23"/>
  <c r="BS93" i="23"/>
  <c r="M73" i="23" s="1"/>
  <c r="BU93" i="23"/>
  <c r="O73" i="23" s="1"/>
  <c r="BW93" i="23"/>
  <c r="CA93" i="23"/>
  <c r="CC93" i="23"/>
  <c r="W73" i="23" s="1"/>
  <c r="CE93" i="23"/>
  <c r="Y73" i="23" s="1"/>
  <c r="CI93" i="23"/>
  <c r="AC73" i="23" s="1"/>
  <c r="AE73" i="23" s="1"/>
  <c r="BK94" i="23"/>
  <c r="BM94" i="23"/>
  <c r="G74" i="23" s="1"/>
  <c r="BO94" i="23"/>
  <c r="I74" i="23" s="1"/>
  <c r="BQ94" i="23"/>
  <c r="BS94" i="23"/>
  <c r="M74" i="23" s="1"/>
  <c r="BU94" i="23"/>
  <c r="O74" i="23" s="1"/>
  <c r="BW94" i="23"/>
  <c r="CA94" i="23"/>
  <c r="CC94" i="23"/>
  <c r="W74" i="23" s="1"/>
  <c r="CE94" i="23"/>
  <c r="Y74" i="23" s="1"/>
  <c r="CI94" i="23"/>
  <c r="AC74" i="23" s="1"/>
  <c r="AE74" i="23" s="1"/>
  <c r="BK95" i="23"/>
  <c r="BQ95" i="23"/>
  <c r="BS95" i="23"/>
  <c r="M75" i="23" s="1"/>
  <c r="BU95" i="23"/>
  <c r="O75" i="23" s="1"/>
  <c r="BW95" i="23"/>
  <c r="CA95" i="23"/>
  <c r="CC95" i="23"/>
  <c r="W75" i="23" s="1"/>
  <c r="CE95" i="23"/>
  <c r="Y75" i="23" s="1"/>
  <c r="CI95" i="23"/>
  <c r="AC75" i="23" s="1"/>
  <c r="AE75" i="23" s="1"/>
  <c r="BS96" i="23"/>
  <c r="M76" i="23" s="1"/>
  <c r="CC96" i="23"/>
  <c r="W76" i="23" s="1"/>
  <c r="CI96" i="23"/>
  <c r="AC76" i="23" s="1"/>
  <c r="AE76" i="23" s="1"/>
  <c r="BK99" i="23"/>
  <c r="BM99" i="23"/>
  <c r="BO99" i="23"/>
  <c r="BQ99" i="23"/>
  <c r="BS99" i="23"/>
  <c r="BW99" i="23"/>
  <c r="CC99" i="23"/>
  <c r="CE99" i="23"/>
  <c r="CG99" i="23"/>
  <c r="CI99" i="23"/>
  <c r="BK100" i="23"/>
  <c r="BM100" i="23"/>
  <c r="BO100" i="23"/>
  <c r="BU100" i="23"/>
  <c r="BY100" i="23"/>
  <c r="CA100" i="23"/>
  <c r="CG100" i="23"/>
  <c r="CI100" i="23"/>
  <c r="BW101" i="23"/>
  <c r="BU102" i="23"/>
  <c r="AI103" i="23"/>
  <c r="AK103" i="23"/>
  <c r="AM103" i="23"/>
  <c r="AO103" i="23"/>
  <c r="AQ103" i="23"/>
  <c r="AS103" i="23"/>
  <c r="AU103" i="23"/>
  <c r="AW103" i="23"/>
  <c r="AY103" i="23"/>
  <c r="BA103" i="23"/>
  <c r="BC103" i="23"/>
  <c r="BE103" i="23"/>
  <c r="BG103" i="23"/>
  <c r="BK103" i="23"/>
  <c r="BM103" i="23"/>
  <c r="BO103" i="23"/>
  <c r="BQ103" i="23"/>
  <c r="BS103" i="23"/>
  <c r="BU103" i="23"/>
  <c r="BW103" i="23"/>
  <c r="BY103" i="23"/>
  <c r="CA103" i="23"/>
  <c r="CC103" i="23"/>
  <c r="CE103" i="23"/>
  <c r="CG103" i="23"/>
  <c r="CI103" i="23"/>
  <c r="BK104" i="23"/>
  <c r="BM104" i="23"/>
  <c r="BO104" i="23"/>
  <c r="BQ104" i="23"/>
  <c r="BS104" i="23"/>
  <c r="BU104" i="23"/>
  <c r="BW104" i="23"/>
  <c r="BY104" i="23"/>
  <c r="CA104" i="23"/>
  <c r="CC104" i="23"/>
  <c r="CE104" i="23"/>
  <c r="CG104" i="23"/>
  <c r="CI104" i="23"/>
  <c r="BK105" i="23"/>
  <c r="BM105" i="23"/>
  <c r="BO105" i="23"/>
  <c r="BQ105" i="23"/>
  <c r="BS105" i="23"/>
  <c r="BU105" i="23"/>
  <c r="BW105" i="23"/>
  <c r="BY105" i="23"/>
  <c r="CA105" i="23"/>
  <c r="CC105" i="23"/>
  <c r="CE105" i="23"/>
  <c r="CG105" i="23"/>
  <c r="CI105" i="23"/>
  <c r="BK106" i="23"/>
  <c r="BM106" i="23"/>
  <c r="BO106" i="23"/>
  <c r="BQ106" i="23"/>
  <c r="BS106" i="23"/>
  <c r="BU106" i="23"/>
  <c r="BW106" i="23"/>
  <c r="BY106" i="23"/>
  <c r="CA106" i="23"/>
  <c r="CC106" i="23"/>
  <c r="CE106" i="23"/>
  <c r="CG106" i="23"/>
  <c r="CI106" i="23"/>
  <c r="BO107" i="23"/>
  <c r="BS107" i="23"/>
  <c r="BW107" i="23"/>
  <c r="BY107" i="23"/>
  <c r="CA107" i="23"/>
  <c r="CC107" i="23"/>
  <c r="CE107" i="23"/>
  <c r="AI108" i="23"/>
  <c r="AK108" i="23"/>
  <c r="AM108" i="23"/>
  <c r="AO108" i="23"/>
  <c r="AQ108" i="23"/>
  <c r="AS108" i="23"/>
  <c r="AU108" i="23"/>
  <c r="AW108" i="23"/>
  <c r="AY108" i="23"/>
  <c r="BA108" i="23"/>
  <c r="BC108" i="23"/>
  <c r="BE108" i="23"/>
  <c r="BG108" i="23"/>
  <c r="BK108" i="23"/>
  <c r="BM108" i="23"/>
  <c r="BO108" i="23"/>
  <c r="BQ108" i="23"/>
  <c r="BS108" i="23"/>
  <c r="BU108" i="23"/>
  <c r="BW108" i="23"/>
  <c r="BY108" i="23"/>
  <c r="CA108" i="23"/>
  <c r="CC108" i="23"/>
  <c r="CE108" i="23"/>
  <c r="CG108" i="23"/>
  <c r="CI108" i="23"/>
  <c r="AI109" i="23"/>
  <c r="AK109" i="23"/>
  <c r="AM109" i="23"/>
  <c r="AO109" i="23"/>
  <c r="AQ109" i="23"/>
  <c r="AS109" i="23"/>
  <c r="AU109" i="23"/>
  <c r="AW109" i="23"/>
  <c r="AY109" i="23"/>
  <c r="BA109" i="23"/>
  <c r="BC109" i="23"/>
  <c r="BE109" i="23"/>
  <c r="BG109" i="23"/>
  <c r="BK109" i="23"/>
  <c r="BM109" i="23"/>
  <c r="BO109" i="23"/>
  <c r="BQ109" i="23"/>
  <c r="BS109" i="23"/>
  <c r="BU109" i="23"/>
  <c r="BW109" i="23"/>
  <c r="BY109" i="23"/>
  <c r="CA109" i="23"/>
  <c r="CC109" i="23"/>
  <c r="CE109" i="23"/>
  <c r="CG109" i="23"/>
  <c r="CI109" i="23"/>
  <c r="BO110" i="23"/>
  <c r="BU110" i="23"/>
  <c r="AI111" i="23"/>
  <c r="AK111" i="23"/>
  <c r="AM111" i="23"/>
  <c r="AO111" i="23"/>
  <c r="AQ111" i="23"/>
  <c r="AS111" i="23"/>
  <c r="AU111" i="23"/>
  <c r="AW111" i="23"/>
  <c r="AY111" i="23"/>
  <c r="BA111" i="23"/>
  <c r="BC111" i="23"/>
  <c r="BE111" i="23"/>
  <c r="BG111" i="23"/>
  <c r="BK111" i="23"/>
  <c r="BM111" i="23"/>
  <c r="BO111" i="23"/>
  <c r="BQ111" i="23"/>
  <c r="BS111" i="23"/>
  <c r="BU111" i="23"/>
  <c r="BW111" i="23"/>
  <c r="BY111" i="23"/>
  <c r="CA111" i="23"/>
  <c r="CC111" i="23"/>
  <c r="CE111" i="23"/>
  <c r="CG111" i="23"/>
  <c r="CI111" i="23"/>
  <c r="AI112" i="23"/>
  <c r="AK112" i="23"/>
  <c r="AM112" i="23"/>
  <c r="AO112" i="23"/>
  <c r="AQ112" i="23"/>
  <c r="AS112" i="23"/>
  <c r="AU112" i="23"/>
  <c r="AW112" i="23"/>
  <c r="AY112" i="23"/>
  <c r="BA112" i="23"/>
  <c r="BC112" i="23"/>
  <c r="BE112" i="23"/>
  <c r="BG112" i="23"/>
  <c r="BK112" i="23"/>
  <c r="BM112" i="23"/>
  <c r="BO112" i="23"/>
  <c r="BQ112" i="23"/>
  <c r="BS112" i="23"/>
  <c r="BU112" i="23"/>
  <c r="BW112" i="23"/>
  <c r="BY112" i="23"/>
  <c r="CA112" i="23"/>
  <c r="CC112" i="23"/>
  <c r="CE112" i="23"/>
  <c r="CG112" i="23"/>
  <c r="CI112" i="23"/>
  <c r="AI113" i="23"/>
  <c r="AK113" i="23"/>
  <c r="AM113" i="23"/>
  <c r="AO113" i="23"/>
  <c r="AQ113" i="23"/>
  <c r="AS113" i="23"/>
  <c r="AU113" i="23"/>
  <c r="AW113" i="23"/>
  <c r="AY113" i="23"/>
  <c r="BA113" i="23"/>
  <c r="BC113" i="23"/>
  <c r="BE113" i="23"/>
  <c r="BG113" i="23"/>
  <c r="BK113" i="23"/>
  <c r="BM113" i="23"/>
  <c r="BO113" i="23"/>
  <c r="BQ113" i="23"/>
  <c r="BS113" i="23"/>
  <c r="BU113" i="23"/>
  <c r="BW113" i="23"/>
  <c r="BY113" i="23"/>
  <c r="CA113" i="23"/>
  <c r="CC113" i="23"/>
  <c r="CE113" i="23"/>
  <c r="CG113" i="23"/>
  <c r="CI113" i="23"/>
  <c r="AB57" i="23"/>
  <c r="AB48" i="23"/>
  <c r="AB58" i="23" s="1"/>
  <c r="Z74" i="23" l="1"/>
  <c r="V74" i="23"/>
  <c r="T74" i="23"/>
  <c r="R74" i="23"/>
  <c r="P74" i="23"/>
  <c r="L74" i="23"/>
  <c r="J74" i="23"/>
  <c r="F74" i="23"/>
  <c r="X74" i="23"/>
  <c r="N74" i="23"/>
  <c r="H74" i="23"/>
  <c r="E74" i="23"/>
  <c r="X66" i="23"/>
  <c r="N66" i="23"/>
  <c r="H66" i="23"/>
  <c r="E66" i="23"/>
  <c r="Z66" i="23"/>
  <c r="V66" i="23"/>
  <c r="T66" i="23"/>
  <c r="R66" i="23"/>
  <c r="P66" i="23"/>
  <c r="L66" i="23"/>
  <c r="J66" i="23"/>
  <c r="F66" i="23"/>
  <c r="Z56" i="23"/>
  <c r="V56" i="23"/>
  <c r="T56" i="23"/>
  <c r="R56" i="23"/>
  <c r="P56" i="23"/>
  <c r="L56" i="23"/>
  <c r="J56" i="23"/>
  <c r="F56" i="23"/>
  <c r="X56" i="23"/>
  <c r="N56" i="23"/>
  <c r="H56" i="23"/>
  <c r="E56" i="23"/>
  <c r="X55" i="23"/>
  <c r="N55" i="23"/>
  <c r="H55" i="23"/>
  <c r="E55" i="23"/>
  <c r="Z55" i="23"/>
  <c r="V55" i="23"/>
  <c r="T55" i="23"/>
  <c r="R55" i="23"/>
  <c r="P55" i="23"/>
  <c r="L55" i="23"/>
  <c r="J55" i="23"/>
  <c r="F55" i="23"/>
  <c r="Z53" i="23"/>
  <c r="V53" i="23"/>
  <c r="T53" i="23"/>
  <c r="R53" i="23"/>
  <c r="P53" i="23"/>
  <c r="L53" i="23"/>
  <c r="J53" i="23"/>
  <c r="F53" i="23"/>
  <c r="X53" i="23"/>
  <c r="N53" i="23"/>
  <c r="H53" i="23"/>
  <c r="E53" i="23"/>
  <c r="Z75" i="23"/>
  <c r="V75" i="23"/>
  <c r="T75" i="23"/>
  <c r="R75" i="23"/>
  <c r="P75" i="23"/>
  <c r="L75" i="23"/>
  <c r="J75" i="23"/>
  <c r="F75" i="23"/>
  <c r="X75" i="23"/>
  <c r="N75" i="23"/>
  <c r="H75" i="23"/>
  <c r="E75" i="23"/>
  <c r="Z73" i="23"/>
  <c r="V73" i="23"/>
  <c r="T73" i="23"/>
  <c r="R73" i="23"/>
  <c r="P73" i="23"/>
  <c r="L73" i="23"/>
  <c r="J73" i="23"/>
  <c r="F73" i="23"/>
  <c r="X73" i="23"/>
  <c r="N73" i="23"/>
  <c r="H73" i="23"/>
  <c r="E73" i="23"/>
  <c r="Z72" i="23"/>
  <c r="V72" i="23"/>
  <c r="T72" i="23"/>
  <c r="R72" i="23"/>
  <c r="P72" i="23"/>
  <c r="X72" i="23"/>
  <c r="N72" i="23"/>
  <c r="H72" i="23"/>
  <c r="E72" i="23"/>
  <c r="L72" i="23"/>
  <c r="J72" i="23"/>
  <c r="F72" i="23"/>
  <c r="Z71" i="23"/>
  <c r="V71" i="23"/>
  <c r="T71" i="23"/>
  <c r="R71" i="23"/>
  <c r="P71" i="23"/>
  <c r="L71" i="23"/>
  <c r="J71" i="23"/>
  <c r="F71" i="23"/>
  <c r="X71" i="23"/>
  <c r="N71" i="23"/>
  <c r="H71" i="23"/>
  <c r="E71" i="23"/>
  <c r="Z67" i="23"/>
  <c r="V67" i="23"/>
  <c r="T67" i="23"/>
  <c r="R67" i="23"/>
  <c r="P67" i="23"/>
  <c r="L67" i="23"/>
  <c r="J67" i="23"/>
  <c r="F67" i="23"/>
  <c r="X67" i="23"/>
  <c r="N67" i="23"/>
  <c r="H67" i="23"/>
  <c r="E67" i="23"/>
  <c r="Z54" i="23"/>
  <c r="V54" i="23"/>
  <c r="T54" i="23"/>
  <c r="R54" i="23"/>
  <c r="P54" i="23"/>
  <c r="L54" i="23"/>
  <c r="J54" i="23"/>
  <c r="F54" i="23"/>
  <c r="X54" i="23"/>
  <c r="N54" i="23"/>
  <c r="H54" i="23"/>
  <c r="E54" i="23"/>
  <c r="X47" i="23"/>
  <c r="N47" i="23"/>
  <c r="H47" i="23"/>
  <c r="E47" i="23"/>
  <c r="Z47" i="23"/>
  <c r="V47" i="23"/>
  <c r="T47" i="23"/>
  <c r="R47" i="23"/>
  <c r="P47" i="23"/>
  <c r="L47" i="23"/>
  <c r="J47" i="23"/>
  <c r="F47" i="23"/>
  <c r="F46" i="23"/>
  <c r="J46" i="23"/>
  <c r="L46" i="23"/>
  <c r="P46" i="23"/>
  <c r="R46" i="23"/>
  <c r="T46" i="23"/>
  <c r="V46" i="23"/>
  <c r="Z46" i="23"/>
  <c r="E46" i="23"/>
  <c r="H46" i="23"/>
  <c r="N46" i="23"/>
  <c r="X46" i="23"/>
  <c r="CK99" i="23"/>
  <c r="CK81" i="23"/>
  <c r="CK80" i="23"/>
  <c r="CK69" i="23"/>
  <c r="CK67" i="23"/>
  <c r="CK106" i="23"/>
  <c r="CK104" i="23"/>
  <c r="CK73" i="23"/>
  <c r="CK71" i="23"/>
  <c r="BH109" i="23"/>
  <c r="BH108" i="23"/>
  <c r="BH103" i="23"/>
  <c r="CK91" i="23"/>
  <c r="CK92" i="23"/>
  <c r="BJ109" i="23"/>
  <c r="BJ108" i="23"/>
  <c r="BJ103" i="23"/>
  <c r="CK88" i="23"/>
  <c r="CK86" i="23"/>
  <c r="CK84" i="23"/>
  <c r="BI53" i="23"/>
  <c r="I72" i="19" s="1"/>
  <c r="BJ53" i="23"/>
  <c r="BI114" i="23"/>
  <c r="I133" i="19" s="1"/>
  <c r="BJ114" i="23"/>
  <c r="BI115" i="23"/>
  <c r="I134" i="19" s="1"/>
  <c r="BJ115" i="23"/>
  <c r="BI113" i="23"/>
  <c r="I132" i="19" s="1"/>
  <c r="BJ113" i="23"/>
  <c r="BI112" i="23"/>
  <c r="I131" i="19" s="1"/>
  <c r="BJ112" i="23"/>
  <c r="BI111" i="23"/>
  <c r="I130" i="19" s="1"/>
  <c r="BJ111" i="23"/>
  <c r="BH113" i="23"/>
  <c r="BH112" i="23"/>
  <c r="BH111" i="23"/>
  <c r="BI109" i="23"/>
  <c r="I128" i="19" s="1"/>
  <c r="BI108" i="23"/>
  <c r="I127" i="19" s="1"/>
  <c r="BI103" i="23"/>
  <c r="I122" i="19" s="1"/>
  <c r="BH53" i="23"/>
  <c r="BH114" i="23"/>
  <c r="BH115" i="23"/>
  <c r="CK103" i="23"/>
  <c r="CK100" i="23"/>
  <c r="CK87" i="23"/>
  <c r="CK85" i="23"/>
  <c r="CK72" i="23"/>
  <c r="CK70" i="23"/>
  <c r="CK68" i="23"/>
  <c r="CK66" i="23"/>
  <c r="CK105" i="23"/>
  <c r="CK83" i="23"/>
  <c r="CK59" i="23"/>
  <c r="CK57" i="23"/>
  <c r="CK55" i="23"/>
  <c r="CK53" i="23"/>
  <c r="CK50" i="23"/>
  <c r="CK48" i="23"/>
  <c r="CJ44" i="23"/>
  <c r="CJ38" i="23"/>
  <c r="CJ34" i="23"/>
  <c r="CJ32" i="23"/>
  <c r="CJ26" i="23"/>
  <c r="CJ24" i="23"/>
  <c r="CJ22" i="23"/>
  <c r="CJ20" i="23"/>
  <c r="CJ14" i="23"/>
  <c r="CJ12" i="23"/>
  <c r="CJ114" i="23"/>
  <c r="CK112" i="23"/>
  <c r="CK108" i="23"/>
  <c r="CK64" i="23"/>
  <c r="CK62" i="23"/>
  <c r="CK60" i="23"/>
  <c r="CK58" i="23"/>
  <c r="CK47" i="23"/>
  <c r="CK113" i="23"/>
  <c r="CK109" i="23"/>
  <c r="CJ45" i="23"/>
  <c r="CJ43" i="23"/>
  <c r="CJ39" i="23"/>
  <c r="CJ31" i="23"/>
  <c r="CJ27" i="23"/>
  <c r="CJ25" i="23"/>
  <c r="CJ23" i="23"/>
  <c r="CJ21" i="23"/>
  <c r="CJ15" i="23"/>
  <c r="CJ13" i="23"/>
  <c r="CJ9" i="23"/>
  <c r="CK111" i="23"/>
  <c r="AB69" i="23"/>
  <c r="CJ113" i="23"/>
  <c r="CJ112" i="23"/>
  <c r="CJ111" i="23"/>
  <c r="CJ109" i="23"/>
  <c r="CJ108" i="23"/>
  <c r="CJ106" i="23"/>
  <c r="CJ105" i="23"/>
  <c r="CJ104" i="23"/>
  <c r="CJ103" i="23"/>
  <c r="CJ87" i="23"/>
  <c r="CJ115" i="23"/>
  <c r="CK115" i="23"/>
  <c r="CJ73" i="23"/>
  <c r="CJ72" i="23"/>
  <c r="CJ71" i="23"/>
  <c r="CJ69" i="23"/>
  <c r="CJ68" i="23"/>
  <c r="CJ67" i="23"/>
  <c r="CJ66" i="23"/>
  <c r="CJ64" i="23"/>
  <c r="CJ62" i="23"/>
  <c r="CJ59" i="23"/>
  <c r="CJ58" i="23"/>
  <c r="CJ57" i="23"/>
  <c r="CJ55" i="23"/>
  <c r="CJ53" i="23"/>
  <c r="CJ50" i="23"/>
  <c r="CJ49" i="23"/>
  <c r="CJ48" i="23"/>
  <c r="CJ47" i="23"/>
  <c r="CJ46" i="23"/>
  <c r="CK45" i="23"/>
  <c r="CK44" i="23"/>
  <c r="CK43" i="23"/>
  <c r="CK42" i="23"/>
  <c r="CK41" i="23"/>
  <c r="CK40" i="23"/>
  <c r="CK39" i="23"/>
  <c r="CK38" i="23"/>
  <c r="CK34" i="23"/>
  <c r="CK33" i="23"/>
  <c r="CK32" i="23"/>
  <c r="CK31" i="23"/>
  <c r="CK30" i="23"/>
  <c r="CK29" i="23"/>
  <c r="CK27" i="23"/>
  <c r="CK26" i="23"/>
  <c r="CK25" i="23"/>
  <c r="CK24" i="23"/>
  <c r="CK23" i="23"/>
  <c r="CK22" i="23"/>
  <c r="CK21" i="23"/>
  <c r="CK20" i="23"/>
  <c r="CK17" i="23"/>
  <c r="CK16" i="23"/>
  <c r="CK15" i="23"/>
  <c r="CK14" i="23"/>
  <c r="CK13" i="23"/>
  <c r="CK12" i="23"/>
  <c r="CK10" i="23"/>
  <c r="CK9" i="23"/>
  <c r="CK8" i="23"/>
  <c r="CK7" i="23"/>
  <c r="CK114" i="23"/>
  <c r="F79" i="23"/>
  <c r="H79" i="23"/>
  <c r="J79" i="23"/>
  <c r="L79" i="23"/>
  <c r="N79" i="23"/>
  <c r="P79" i="23"/>
  <c r="R79" i="23"/>
  <c r="T79" i="23"/>
  <c r="V79" i="23"/>
  <c r="X79" i="23"/>
  <c r="Z79" i="23"/>
  <c r="AB79" i="23"/>
  <c r="F38" i="23"/>
  <c r="H38" i="23"/>
  <c r="J38" i="23"/>
  <c r="L38" i="23"/>
  <c r="N38" i="23"/>
  <c r="P38" i="23"/>
  <c r="R38" i="23"/>
  <c r="T38" i="23"/>
  <c r="V38" i="23"/>
  <c r="X38" i="23"/>
  <c r="Z38" i="23"/>
  <c r="AB38" i="23"/>
  <c r="S62" i="23" l="1"/>
  <c r="K62" i="23"/>
  <c r="U62" i="23"/>
  <c r="Q62" i="23"/>
  <c r="U48" i="23"/>
  <c r="S48" i="23"/>
  <c r="Q48" i="23"/>
  <c r="K48" i="23"/>
  <c r="H100" i="16"/>
  <c r="BY81" i="23" s="1"/>
  <c r="CJ81" i="23" s="1"/>
  <c r="H97" i="16"/>
  <c r="BY78" i="23" s="1"/>
  <c r="H97" i="19"/>
  <c r="CE78" i="23" s="1"/>
  <c r="H98" i="19"/>
  <c r="CE79" i="23" s="1"/>
  <c r="CC79" i="23"/>
  <c r="CC78" i="23"/>
  <c r="H97" i="17"/>
  <c r="CA78" i="23" s="1"/>
  <c r="H98" i="17"/>
  <c r="CA79" i="23" s="1"/>
  <c r="H98" i="16"/>
  <c r="BY79" i="23" s="1"/>
  <c r="H97" i="15"/>
  <c r="BW78" i="23" s="1"/>
  <c r="H98" i="15"/>
  <c r="BW79" i="23" s="1"/>
  <c r="BU79" i="23"/>
  <c r="BU78" i="23"/>
  <c r="BS78" i="23"/>
  <c r="BS79" i="23"/>
  <c r="H99" i="12"/>
  <c r="BQ80" i="23" s="1"/>
  <c r="CJ80" i="23" s="1"/>
  <c r="H97" i="12"/>
  <c r="BQ78" i="23" s="1"/>
  <c r="H98" i="12"/>
  <c r="BQ79" i="23" s="1"/>
  <c r="CJ79" i="23" l="1"/>
  <c r="CJ78" i="23"/>
  <c r="Q57" i="23"/>
  <c r="Q58" i="23" s="1"/>
  <c r="K57" i="23"/>
  <c r="K58" i="23" s="1"/>
  <c r="S57" i="23"/>
  <c r="S58" i="23" s="1"/>
  <c r="U57" i="23"/>
  <c r="U58" i="23" s="1"/>
  <c r="G78" i="23"/>
  <c r="I78" i="23"/>
  <c r="K78" i="23"/>
  <c r="M78" i="23"/>
  <c r="O78" i="23"/>
  <c r="Q78" i="23"/>
  <c r="S78" i="23"/>
  <c r="U78" i="23"/>
  <c r="W78" i="23"/>
  <c r="Y78" i="23"/>
  <c r="AA78" i="23"/>
  <c r="AC78" i="23"/>
  <c r="AE78" i="23" s="1"/>
  <c r="U68" i="23"/>
  <c r="Q68" i="23"/>
  <c r="K68" i="23"/>
  <c r="S68" i="23"/>
  <c r="U69" i="23" l="1"/>
  <c r="U77" i="23" s="1"/>
  <c r="U79" i="23" s="1"/>
  <c r="K69" i="23"/>
  <c r="K77" i="23" s="1"/>
  <c r="K79" i="23" s="1"/>
  <c r="S69" i="23"/>
  <c r="S77" i="23" s="1"/>
  <c r="S79" i="23" s="1"/>
  <c r="Q69" i="23"/>
  <c r="Q77" i="23" s="1"/>
  <c r="Q79" i="23" s="1"/>
  <c r="H115" i="16" l="1"/>
  <c r="BY96" i="23" s="1"/>
  <c r="H114" i="16"/>
  <c r="BY95" i="23" s="1"/>
  <c r="H113" i="16"/>
  <c r="BY94" i="23" s="1"/>
  <c r="CJ94" i="23" s="1"/>
  <c r="H112" i="16"/>
  <c r="BY93" i="23" s="1"/>
  <c r="CJ93" i="23" s="1"/>
  <c r="H111" i="16"/>
  <c r="BY92" i="23" s="1"/>
  <c r="CJ92" i="23" s="1"/>
  <c r="H110" i="16"/>
  <c r="BY91" i="23" s="1"/>
  <c r="CJ91" i="23" s="1"/>
  <c r="H107" i="16"/>
  <c r="BY88" i="23" s="1"/>
  <c r="CJ88" i="23" s="1"/>
  <c r="H105" i="16"/>
  <c r="BY86" i="23" s="1"/>
  <c r="H104" i="16"/>
  <c r="BY85" i="23" s="1"/>
  <c r="CJ85" i="23" s="1"/>
  <c r="H103" i="16"/>
  <c r="BY84" i="23" s="1"/>
  <c r="CJ84" i="23" s="1"/>
  <c r="P129" i="16"/>
  <c r="H89" i="16"/>
  <c r="BY70" i="23" s="1"/>
  <c r="H89" i="19"/>
  <c r="CE70" i="23" s="1"/>
  <c r="CC70" i="23"/>
  <c r="H82" i="16"/>
  <c r="BY63" i="23" s="1"/>
  <c r="CJ63" i="23" s="1"/>
  <c r="H79" i="16"/>
  <c r="BY60" i="23" s="1"/>
  <c r="CJ60" i="23" s="1"/>
  <c r="H115" i="19"/>
  <c r="CE96" i="23" s="1"/>
  <c r="Y76" i="23" s="1"/>
  <c r="P129" i="19"/>
  <c r="O129" i="18"/>
  <c r="J89" i="16"/>
  <c r="CC61" i="23"/>
  <c r="H115" i="17"/>
  <c r="CA96" i="23" s="1"/>
  <c r="H115" i="15"/>
  <c r="BW96" i="23" s="1"/>
  <c r="BU96" i="23"/>
  <c r="O76" i="23" s="1"/>
  <c r="H115" i="12"/>
  <c r="BQ96" i="23" s="1"/>
  <c r="H61" i="16"/>
  <c r="H60" i="16"/>
  <c r="BY41" i="23" s="1"/>
  <c r="CJ41" i="23" s="1"/>
  <c r="H59" i="16"/>
  <c r="BY40" i="23" s="1"/>
  <c r="CJ40" i="23" s="1"/>
  <c r="H54" i="16"/>
  <c r="BY35" i="23" s="1"/>
  <c r="CJ35" i="23" s="1"/>
  <c r="H52" i="16"/>
  <c r="BY33" i="23" s="1"/>
  <c r="CJ33" i="23" s="1"/>
  <c r="H49" i="16"/>
  <c r="BY30" i="23" s="1"/>
  <c r="CJ30" i="23" s="1"/>
  <c r="H36" i="16"/>
  <c r="BY17" i="23" s="1"/>
  <c r="CJ17" i="23" s="1"/>
  <c r="H35" i="16"/>
  <c r="BY16" i="23" s="1"/>
  <c r="CJ16" i="23" s="1"/>
  <c r="J28" i="16"/>
  <c r="H29" i="16"/>
  <c r="BY10" i="23" s="1"/>
  <c r="CJ10" i="23" s="1"/>
  <c r="H27" i="16"/>
  <c r="H26" i="16"/>
  <c r="BY7" i="23" s="1"/>
  <c r="CJ7" i="23" s="1"/>
  <c r="J31" i="16"/>
  <c r="J32" i="16"/>
  <c r="J33" i="16"/>
  <c r="J34" i="16"/>
  <c r="J35" i="16"/>
  <c r="J39" i="16"/>
  <c r="J40" i="16"/>
  <c r="J41" i="16"/>
  <c r="J42" i="16"/>
  <c r="J43" i="16"/>
  <c r="J44" i="16"/>
  <c r="J45" i="16"/>
  <c r="J46" i="16"/>
  <c r="J48" i="16"/>
  <c r="J49" i="16"/>
  <c r="J50" i="16"/>
  <c r="J51" i="16"/>
  <c r="J52" i="16"/>
  <c r="J53" i="16"/>
  <c r="J57" i="16"/>
  <c r="J58" i="16"/>
  <c r="J59" i="16"/>
  <c r="J60" i="16"/>
  <c r="J62" i="16"/>
  <c r="J63" i="16"/>
  <c r="J64" i="16"/>
  <c r="J66" i="16"/>
  <c r="J67" i="16"/>
  <c r="J69" i="16"/>
  <c r="J72" i="16"/>
  <c r="J74" i="16"/>
  <c r="J75" i="16"/>
  <c r="J76" i="16"/>
  <c r="J77" i="16"/>
  <c r="J78" i="16"/>
  <c r="J79" i="16"/>
  <c r="J81" i="16"/>
  <c r="J83" i="16"/>
  <c r="J85" i="16"/>
  <c r="J86" i="16"/>
  <c r="J87" i="16"/>
  <c r="J88" i="16"/>
  <c r="J90" i="16"/>
  <c r="J91" i="16"/>
  <c r="J92" i="16"/>
  <c r="J99" i="16"/>
  <c r="J100" i="16"/>
  <c r="J102" i="16"/>
  <c r="J103" i="16"/>
  <c r="J104" i="16"/>
  <c r="J105" i="16"/>
  <c r="J106" i="16"/>
  <c r="J107" i="16"/>
  <c r="J111" i="16"/>
  <c r="J122" i="16"/>
  <c r="J123" i="16"/>
  <c r="J124" i="16"/>
  <c r="J125" i="16"/>
  <c r="J127" i="16"/>
  <c r="J128" i="16"/>
  <c r="J130" i="16"/>
  <c r="J131" i="16"/>
  <c r="J132" i="16"/>
  <c r="J133" i="16"/>
  <c r="J134" i="16"/>
  <c r="J24" i="16"/>
  <c r="CG96" i="23"/>
  <c r="AA76" i="23" s="1"/>
  <c r="CG95" i="23"/>
  <c r="AA75" i="23" s="1"/>
  <c r="BM96" i="23"/>
  <c r="G76" i="23" s="1"/>
  <c r="BM95" i="23"/>
  <c r="G75" i="23" s="1"/>
  <c r="BO96" i="23"/>
  <c r="BO95" i="23"/>
  <c r="S25" i="11"/>
  <c r="S26" i="11"/>
  <c r="S27" i="11"/>
  <c r="S28" i="11"/>
  <c r="S29" i="11"/>
  <c r="S31" i="11"/>
  <c r="S32" i="11"/>
  <c r="S33" i="11"/>
  <c r="S34" i="11"/>
  <c r="S35" i="11"/>
  <c r="S36" i="11"/>
  <c r="S39" i="11"/>
  <c r="S40" i="11"/>
  <c r="S41" i="11"/>
  <c r="S42" i="11"/>
  <c r="S43" i="11"/>
  <c r="S44" i="11"/>
  <c r="S45" i="11"/>
  <c r="S46" i="11"/>
  <c r="S48" i="11"/>
  <c r="S49" i="11"/>
  <c r="S50" i="11"/>
  <c r="S51" i="11"/>
  <c r="S52" i="11"/>
  <c r="S53" i="11"/>
  <c r="S54" i="11"/>
  <c r="S57" i="11"/>
  <c r="S58" i="11"/>
  <c r="S59" i="11"/>
  <c r="S60" i="11"/>
  <c r="S61" i="11"/>
  <c r="S62" i="11"/>
  <c r="S63" i="11"/>
  <c r="S64" i="11"/>
  <c r="S65" i="11"/>
  <c r="S66" i="11"/>
  <c r="S67" i="11"/>
  <c r="S68" i="11"/>
  <c r="S69" i="11"/>
  <c r="S72" i="11"/>
  <c r="S74" i="11"/>
  <c r="S75" i="11"/>
  <c r="S76" i="11"/>
  <c r="S77" i="11"/>
  <c r="S78" i="11"/>
  <c r="S79" i="11"/>
  <c r="S80" i="11"/>
  <c r="S81" i="11"/>
  <c r="S82" i="11"/>
  <c r="S83" i="11"/>
  <c r="S85" i="11"/>
  <c r="S86" i="11"/>
  <c r="S87" i="11"/>
  <c r="S88" i="11"/>
  <c r="S89" i="11"/>
  <c r="S90" i="11"/>
  <c r="S91" i="11"/>
  <c r="S92" i="11"/>
  <c r="S97" i="11"/>
  <c r="S98" i="11"/>
  <c r="S99" i="11"/>
  <c r="S100" i="11"/>
  <c r="S102" i="11"/>
  <c r="S103" i="11"/>
  <c r="S104" i="11"/>
  <c r="S105" i="11"/>
  <c r="S106" i="11"/>
  <c r="S107" i="11"/>
  <c r="S110" i="11"/>
  <c r="S111" i="11"/>
  <c r="S112" i="11"/>
  <c r="S113" i="11"/>
  <c r="S114" i="11"/>
  <c r="S118" i="11"/>
  <c r="S119" i="11"/>
  <c r="S122" i="11"/>
  <c r="S123" i="11"/>
  <c r="S124" i="11"/>
  <c r="S125" i="11"/>
  <c r="S126" i="11"/>
  <c r="S127" i="11"/>
  <c r="S128" i="11"/>
  <c r="S129" i="11"/>
  <c r="S130" i="11"/>
  <c r="S131" i="11"/>
  <c r="S132" i="11"/>
  <c r="S133" i="11"/>
  <c r="S134" i="11"/>
  <c r="CG94" i="23"/>
  <c r="CG93" i="23"/>
  <c r="CG79" i="23"/>
  <c r="CK79" i="23" s="1"/>
  <c r="CG78" i="23"/>
  <c r="CK78" i="23" s="1"/>
  <c r="CG63" i="23"/>
  <c r="CK63" i="23" s="1"/>
  <c r="CG61" i="23"/>
  <c r="CK61" i="23" s="1"/>
  <c r="CG49" i="23"/>
  <c r="CG46" i="23"/>
  <c r="CG35" i="23"/>
  <c r="CK35" i="23" s="1"/>
  <c r="CG6" i="23"/>
  <c r="Q26" i="22"/>
  <c r="Q27" i="22"/>
  <c r="Q28" i="22"/>
  <c r="Q29" i="22"/>
  <c r="Q31" i="22"/>
  <c r="Q32" i="22"/>
  <c r="Q33" i="22"/>
  <c r="Q34" i="22"/>
  <c r="Q35" i="22"/>
  <c r="Q36" i="22"/>
  <c r="Q39" i="22"/>
  <c r="Q40" i="22"/>
  <c r="Q41" i="22"/>
  <c r="Q42" i="22"/>
  <c r="Q43" i="22"/>
  <c r="Q44" i="22"/>
  <c r="Q45" i="22"/>
  <c r="Q46" i="22"/>
  <c r="Q48" i="22"/>
  <c r="Q49" i="22"/>
  <c r="Q50" i="22"/>
  <c r="Q51" i="22"/>
  <c r="Q52" i="22"/>
  <c r="Q53" i="22"/>
  <c r="Q54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2" i="22"/>
  <c r="Q74" i="22"/>
  <c r="Q76" i="22"/>
  <c r="Q77" i="22"/>
  <c r="Q78" i="22"/>
  <c r="Q79" i="22"/>
  <c r="Q80" i="22"/>
  <c r="Q81" i="22"/>
  <c r="Q82" i="22"/>
  <c r="Q83" i="22"/>
  <c r="Q85" i="22"/>
  <c r="Q86" i="22"/>
  <c r="Q87" i="22"/>
  <c r="Q88" i="22"/>
  <c r="Q89" i="22"/>
  <c r="Q90" i="22"/>
  <c r="Q91" i="22"/>
  <c r="Q92" i="22"/>
  <c r="Q97" i="22"/>
  <c r="Q98" i="22"/>
  <c r="Q99" i="22"/>
  <c r="Q100" i="22"/>
  <c r="Q102" i="22"/>
  <c r="Q103" i="22"/>
  <c r="Q104" i="22"/>
  <c r="Q105" i="22"/>
  <c r="Q106" i="22"/>
  <c r="Q107" i="22"/>
  <c r="Q110" i="22"/>
  <c r="Q111" i="22"/>
  <c r="Q112" i="22"/>
  <c r="Q113" i="22"/>
  <c r="Q114" i="22"/>
  <c r="Q115" i="22"/>
  <c r="Q118" i="22"/>
  <c r="Q119" i="22"/>
  <c r="Q122" i="22"/>
  <c r="Q123" i="22"/>
  <c r="Q124" i="22"/>
  <c r="Q125" i="22"/>
  <c r="Q127" i="22"/>
  <c r="Q128" i="22"/>
  <c r="Q130" i="22"/>
  <c r="Q131" i="22"/>
  <c r="Q132" i="22"/>
  <c r="Q133" i="22"/>
  <c r="Q134" i="22"/>
  <c r="CK96" i="23" l="1"/>
  <c r="I76" i="23"/>
  <c r="CK95" i="23"/>
  <c r="I75" i="23"/>
  <c r="CK46" i="23"/>
  <c r="AA53" i="23"/>
  <c r="CK93" i="23"/>
  <c r="AA73" i="23"/>
  <c r="CK49" i="23"/>
  <c r="AA55" i="23"/>
  <c r="CK94" i="23"/>
  <c r="AA74" i="23"/>
  <c r="J97" i="16"/>
  <c r="J61" i="16"/>
  <c r="BY42" i="23"/>
  <c r="CJ42" i="23" s="1"/>
  <c r="S115" i="11"/>
  <c r="CJ95" i="23"/>
  <c r="J112" i="16"/>
  <c r="J110" i="16"/>
  <c r="J36" i="16"/>
  <c r="J26" i="16"/>
  <c r="J27" i="16"/>
  <c r="BY8" i="23"/>
  <c r="CJ8" i="23" s="1"/>
  <c r="J29" i="16"/>
  <c r="CJ70" i="23"/>
  <c r="J25" i="16"/>
  <c r="J68" i="16"/>
  <c r="J113" i="16"/>
  <c r="J98" i="16"/>
  <c r="J82" i="16"/>
  <c r="J65" i="16"/>
  <c r="J54" i="16"/>
  <c r="J114" i="16"/>
  <c r="J115" i="16"/>
  <c r="K25" i="22"/>
  <c r="K26" i="22"/>
  <c r="K27" i="22"/>
  <c r="K28" i="22"/>
  <c r="K29" i="22"/>
  <c r="K31" i="22"/>
  <c r="K32" i="22"/>
  <c r="K33" i="22"/>
  <c r="K34" i="22"/>
  <c r="K35" i="22"/>
  <c r="K36" i="22"/>
  <c r="K39" i="22"/>
  <c r="K40" i="22"/>
  <c r="K41" i="22"/>
  <c r="K42" i="22"/>
  <c r="K43" i="22"/>
  <c r="K44" i="22"/>
  <c r="K45" i="22"/>
  <c r="K46" i="22"/>
  <c r="K48" i="22"/>
  <c r="K49" i="22"/>
  <c r="K50" i="22"/>
  <c r="K51" i="22"/>
  <c r="K52" i="22"/>
  <c r="K53" i="22"/>
  <c r="K54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2" i="22"/>
  <c r="K74" i="22"/>
  <c r="K76" i="22"/>
  <c r="K77" i="22"/>
  <c r="K78" i="22"/>
  <c r="K79" i="22"/>
  <c r="K80" i="22"/>
  <c r="K81" i="22"/>
  <c r="K82" i="22"/>
  <c r="K83" i="22"/>
  <c r="K85" i="22"/>
  <c r="K86" i="22"/>
  <c r="K87" i="22"/>
  <c r="K88" i="22"/>
  <c r="K89" i="22"/>
  <c r="K90" i="22"/>
  <c r="K91" i="22"/>
  <c r="K92" i="22"/>
  <c r="K97" i="22"/>
  <c r="K98" i="22"/>
  <c r="K99" i="22"/>
  <c r="K100" i="22"/>
  <c r="K102" i="22"/>
  <c r="K103" i="22"/>
  <c r="K104" i="22"/>
  <c r="K105" i="22"/>
  <c r="K106" i="22"/>
  <c r="K107" i="22"/>
  <c r="K110" i="22"/>
  <c r="K111" i="22"/>
  <c r="K112" i="22"/>
  <c r="K113" i="22"/>
  <c r="K114" i="22"/>
  <c r="K115" i="22"/>
  <c r="K118" i="22"/>
  <c r="K119" i="22"/>
  <c r="K122" i="22"/>
  <c r="K123" i="22"/>
  <c r="K124" i="22"/>
  <c r="K125" i="22"/>
  <c r="K127" i="22"/>
  <c r="K128" i="22"/>
  <c r="K130" i="22"/>
  <c r="K131" i="22"/>
  <c r="K132" i="22"/>
  <c r="K133" i="22"/>
  <c r="K134" i="22"/>
  <c r="N134" i="22"/>
  <c r="N133" i="22"/>
  <c r="N132" i="22"/>
  <c r="N131" i="22"/>
  <c r="N130" i="22"/>
  <c r="N128" i="22"/>
  <c r="N127" i="22"/>
  <c r="BG106" i="23"/>
  <c r="BG105" i="23"/>
  <c r="BG104" i="23"/>
  <c r="N122" i="22"/>
  <c r="BG100" i="23"/>
  <c r="BG99" i="23"/>
  <c r="BG96" i="23"/>
  <c r="BG95" i="23"/>
  <c r="BG94" i="23"/>
  <c r="BG93" i="23"/>
  <c r="BG92" i="23"/>
  <c r="BG91" i="23"/>
  <c r="BG88" i="23"/>
  <c r="BG87" i="23"/>
  <c r="BG86" i="23"/>
  <c r="BG85" i="23"/>
  <c r="BG84" i="23"/>
  <c r="BG83" i="23"/>
  <c r="BG81" i="23"/>
  <c r="BG80" i="23"/>
  <c r="BG79" i="23"/>
  <c r="BG78" i="23"/>
  <c r="N92" i="22"/>
  <c r="BG73" i="23"/>
  <c r="N91" i="22"/>
  <c r="BG72" i="23"/>
  <c r="N90" i="22"/>
  <c r="BG71" i="23"/>
  <c r="N89" i="22"/>
  <c r="BG70" i="23"/>
  <c r="N88" i="22"/>
  <c r="BG69" i="23"/>
  <c r="N87" i="22"/>
  <c r="BG68" i="23"/>
  <c r="N86" i="22"/>
  <c r="BG67" i="23"/>
  <c r="N85" i="22"/>
  <c r="BG66" i="23"/>
  <c r="BG65" i="23"/>
  <c r="BG64" i="23"/>
  <c r="BG63" i="23"/>
  <c r="BG62" i="23"/>
  <c r="BG61" i="23"/>
  <c r="BG60" i="23"/>
  <c r="BG59" i="23"/>
  <c r="BG58" i="23"/>
  <c r="BG57" i="23"/>
  <c r="BG55" i="23"/>
  <c r="N72" i="22"/>
  <c r="BG47" i="23"/>
  <c r="BG45" i="23"/>
  <c r="BG44" i="23"/>
  <c r="BG43" i="23"/>
  <c r="BG42" i="23"/>
  <c r="BG41" i="23"/>
  <c r="BG40" i="23"/>
  <c r="BG39" i="23"/>
  <c r="BG38" i="23"/>
  <c r="BG37" i="23"/>
  <c r="BG36" i="23"/>
  <c r="BG35" i="23"/>
  <c r="BG34" i="23"/>
  <c r="BG33" i="23"/>
  <c r="BG32" i="23"/>
  <c r="BG31" i="23"/>
  <c r="BG30" i="23"/>
  <c r="BG29" i="23"/>
  <c r="BG27" i="23"/>
  <c r="BG26" i="23"/>
  <c r="BG25" i="23"/>
  <c r="BG24" i="23"/>
  <c r="BG23" i="23"/>
  <c r="BG22" i="23"/>
  <c r="BG21" i="23"/>
  <c r="BG20" i="23"/>
  <c r="BG17" i="23"/>
  <c r="BG16" i="23"/>
  <c r="BG15" i="23"/>
  <c r="BG14" i="23"/>
  <c r="BG13" i="23"/>
  <c r="BG12" i="23"/>
  <c r="BG10" i="23"/>
  <c r="BG9" i="23"/>
  <c r="BG8" i="23"/>
  <c r="BG7" i="23"/>
  <c r="BG5" i="23"/>
  <c r="CI5" i="23" l="1"/>
  <c r="Q24" i="22"/>
  <c r="CI11" i="23"/>
  <c r="Q30" i="22"/>
  <c r="CI28" i="23"/>
  <c r="AC51" i="23" s="1"/>
  <c r="AE51" i="23" s="1"/>
  <c r="Q47" i="22"/>
  <c r="Q95" i="22"/>
  <c r="CI76" i="23"/>
  <c r="CI82" i="23"/>
  <c r="AC65" i="23" s="1"/>
  <c r="AE65" i="23" s="1"/>
  <c r="Q101" i="22"/>
  <c r="CI6" i="23"/>
  <c r="Q25" i="22"/>
  <c r="CI19" i="23"/>
  <c r="AC50" i="23" s="1"/>
  <c r="CI18" i="23"/>
  <c r="Q38" i="22"/>
  <c r="CI36" i="23"/>
  <c r="Q55" i="22"/>
  <c r="CI37" i="23"/>
  <c r="Q56" i="22"/>
  <c r="CI56" i="23"/>
  <c r="Q75" i="22"/>
  <c r="CI65" i="23"/>
  <c r="AC61" i="23" s="1"/>
  <c r="Q84" i="22"/>
  <c r="Q96" i="22"/>
  <c r="CI77" i="23"/>
  <c r="AC64" i="23" s="1"/>
  <c r="K75" i="22"/>
  <c r="BG6" i="23"/>
  <c r="BG46" i="23"/>
  <c r="AC12" i="23" s="1"/>
  <c r="AE12" i="23" s="1"/>
  <c r="BG48" i="23"/>
  <c r="AC13" i="23" s="1"/>
  <c r="AE13" i="23" s="1"/>
  <c r="BG49" i="23"/>
  <c r="AC14" i="23" s="1"/>
  <c r="AE14" i="23" s="1"/>
  <c r="BG50" i="23"/>
  <c r="AC15" i="23" s="1"/>
  <c r="AE15" i="23" s="1"/>
  <c r="BG77" i="23"/>
  <c r="AC23" i="23" s="1"/>
  <c r="AE23" i="23" s="1"/>
  <c r="BG28" i="23"/>
  <c r="AC10" i="23" s="1"/>
  <c r="AE10" i="23" s="1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24" i="22"/>
  <c r="N32" i="22"/>
  <c r="N26" i="22"/>
  <c r="N27" i="22"/>
  <c r="N28" i="22"/>
  <c r="N29" i="22"/>
  <c r="N33" i="22"/>
  <c r="N35" i="22"/>
  <c r="AC5" i="23"/>
  <c r="AE5" i="23" s="1"/>
  <c r="N40" i="22"/>
  <c r="N42" i="22"/>
  <c r="N44" i="22"/>
  <c r="N46" i="22"/>
  <c r="N48" i="22"/>
  <c r="N49" i="22"/>
  <c r="N50" i="22"/>
  <c r="N51" i="22"/>
  <c r="N52" i="22"/>
  <c r="N53" i="22"/>
  <c r="N54" i="22"/>
  <c r="N77" i="22"/>
  <c r="N79" i="22"/>
  <c r="N81" i="22"/>
  <c r="N83" i="22"/>
  <c r="N103" i="22"/>
  <c r="N105" i="22"/>
  <c r="N107" i="22"/>
  <c r="AC26" i="23"/>
  <c r="AE26" i="23" s="1"/>
  <c r="N111" i="22"/>
  <c r="AC31" i="23"/>
  <c r="AE31" i="23" s="1"/>
  <c r="N113" i="22"/>
  <c r="AC33" i="23"/>
  <c r="AE33" i="23" s="1"/>
  <c r="N115" i="22"/>
  <c r="AC35" i="23"/>
  <c r="AE35" i="23" s="1"/>
  <c r="N119" i="22"/>
  <c r="N25" i="22"/>
  <c r="N34" i="22"/>
  <c r="N36" i="22"/>
  <c r="AC6" i="23"/>
  <c r="AE6" i="23" s="1"/>
  <c r="N41" i="22"/>
  <c r="N43" i="22"/>
  <c r="N45" i="22"/>
  <c r="N55" i="22"/>
  <c r="N56" i="22"/>
  <c r="N74" i="22"/>
  <c r="N78" i="22"/>
  <c r="N80" i="22"/>
  <c r="N82" i="22"/>
  <c r="N84" i="22"/>
  <c r="AC20" i="23"/>
  <c r="AE20" i="23" s="1"/>
  <c r="N97" i="22"/>
  <c r="N98" i="22"/>
  <c r="N99" i="22"/>
  <c r="N100" i="22"/>
  <c r="N102" i="22"/>
  <c r="N104" i="22"/>
  <c r="N106" i="22"/>
  <c r="AC25" i="23"/>
  <c r="AE25" i="23" s="1"/>
  <c r="N110" i="22"/>
  <c r="AC30" i="23"/>
  <c r="AE30" i="23" s="1"/>
  <c r="N112" i="22"/>
  <c r="AC32" i="23"/>
  <c r="AE32" i="23" s="1"/>
  <c r="N114" i="22"/>
  <c r="AC34" i="23"/>
  <c r="AE34" i="23" s="1"/>
  <c r="N118" i="22"/>
  <c r="N123" i="22"/>
  <c r="N124" i="22"/>
  <c r="N125" i="22"/>
  <c r="N39" i="22"/>
  <c r="N31" i="22"/>
  <c r="BG11" i="23"/>
  <c r="N76" i="22"/>
  <c r="BG56" i="23"/>
  <c r="N96" i="22"/>
  <c r="BG82" i="23"/>
  <c r="AE61" i="23" l="1"/>
  <c r="AC52" i="23"/>
  <c r="AE52" i="23" s="1"/>
  <c r="AE64" i="23"/>
  <c r="AC68" i="23"/>
  <c r="AE68" i="23" s="1"/>
  <c r="AE50" i="23"/>
  <c r="AC57" i="23"/>
  <c r="AE57" i="23" s="1"/>
  <c r="CI74" i="23"/>
  <c r="Q93" i="22"/>
  <c r="CK56" i="23"/>
  <c r="CJ56" i="23"/>
  <c r="CJ6" i="23"/>
  <c r="CK6" i="23"/>
  <c r="CI54" i="23"/>
  <c r="AC60" i="23" s="1"/>
  <c r="AE60" i="23" s="1"/>
  <c r="Q73" i="22"/>
  <c r="CI4" i="23"/>
  <c r="AC45" i="23" s="1"/>
  <c r="Q23" i="22"/>
  <c r="BG4" i="23"/>
  <c r="AC4" i="23" s="1"/>
  <c r="BG19" i="23"/>
  <c r="AC9" i="23" s="1"/>
  <c r="AE9" i="23" s="1"/>
  <c r="N47" i="22"/>
  <c r="AC11" i="23"/>
  <c r="AE11" i="23" s="1"/>
  <c r="N23" i="22"/>
  <c r="N101" i="22"/>
  <c r="AC24" i="23"/>
  <c r="N30" i="22"/>
  <c r="Q37" i="22"/>
  <c r="CI51" i="23"/>
  <c r="BG76" i="23"/>
  <c r="CI89" i="23"/>
  <c r="N75" i="22"/>
  <c r="BG54" i="23"/>
  <c r="AC19" i="23" s="1"/>
  <c r="N38" i="22"/>
  <c r="BG18" i="23"/>
  <c r="AC21" i="23" l="1"/>
  <c r="AE21" i="23" s="1"/>
  <c r="AE19" i="23"/>
  <c r="AC27" i="23"/>
  <c r="AE27" i="23" s="1"/>
  <c r="AE24" i="23"/>
  <c r="AC7" i="23"/>
  <c r="AE7" i="23" s="1"/>
  <c r="AE4" i="23"/>
  <c r="AE45" i="23"/>
  <c r="AC48" i="23"/>
  <c r="AC62" i="23"/>
  <c r="AE62" i="23" s="1"/>
  <c r="CI90" i="23"/>
  <c r="CI52" i="23"/>
  <c r="CI3" i="23"/>
  <c r="Q22" i="22"/>
  <c r="CI75" i="23"/>
  <c r="Q94" i="22"/>
  <c r="BG3" i="23"/>
  <c r="AC16" i="23"/>
  <c r="N95" i="22"/>
  <c r="N37" i="22"/>
  <c r="Q109" i="22"/>
  <c r="Q70" i="22"/>
  <c r="Q108" i="22"/>
  <c r="Q71" i="22"/>
  <c r="BG74" i="23"/>
  <c r="BG75" i="23"/>
  <c r="N73" i="22"/>
  <c r="N22" i="22"/>
  <c r="CI97" i="23"/>
  <c r="CI98" i="23"/>
  <c r="AC17" i="23" l="1"/>
  <c r="AE16" i="23"/>
  <c r="AE48" i="23"/>
  <c r="AC58" i="23"/>
  <c r="BG52" i="23"/>
  <c r="BG51" i="23"/>
  <c r="N94" i="22"/>
  <c r="N71" i="22"/>
  <c r="N93" i="22"/>
  <c r="Q117" i="22"/>
  <c r="Q116" i="22"/>
  <c r="N70" i="22"/>
  <c r="CI101" i="23"/>
  <c r="CI102" i="23"/>
  <c r="AC69" i="23" l="1"/>
  <c r="AE58" i="23"/>
  <c r="AC28" i="23"/>
  <c r="AE17" i="23"/>
  <c r="BG90" i="23"/>
  <c r="BG89" i="23"/>
  <c r="N109" i="22"/>
  <c r="Q120" i="22"/>
  <c r="Q121" i="22"/>
  <c r="CI110" i="23"/>
  <c r="CI107" i="23"/>
  <c r="N108" i="22"/>
  <c r="AC36" i="23" l="1"/>
  <c r="AE28" i="23"/>
  <c r="AC77" i="23"/>
  <c r="AE69" i="23"/>
  <c r="BG98" i="23"/>
  <c r="BG97" i="23"/>
  <c r="N117" i="22"/>
  <c r="Q126" i="22"/>
  <c r="Q129" i="22"/>
  <c r="N116" i="22"/>
  <c r="AC79" i="23" l="1"/>
  <c r="AE79" i="23" s="1"/>
  <c r="AE77" i="23"/>
  <c r="AC38" i="23"/>
  <c r="AE36" i="23"/>
  <c r="BG101" i="23"/>
  <c r="BG102" i="23"/>
  <c r="N121" i="22"/>
  <c r="N120" i="22"/>
  <c r="AC39" i="23" l="1"/>
  <c r="AE38" i="23"/>
  <c r="BG107" i="23"/>
  <c r="BG110" i="23"/>
  <c r="N129" i="22"/>
  <c r="N126" i="22"/>
  <c r="H80" i="19"/>
  <c r="BU99" i="23"/>
  <c r="BS100" i="23"/>
  <c r="CE61" i="23" l="1"/>
  <c r="J80" i="16"/>
  <c r="H119" i="12"/>
  <c r="BQ100" i="23" s="1"/>
  <c r="H119" i="19" l="1"/>
  <c r="CC100" i="23"/>
  <c r="H118" i="17"/>
  <c r="H118" i="16"/>
  <c r="BY99" i="23" s="1"/>
  <c r="H119" i="15"/>
  <c r="BW100" i="23" s="1"/>
  <c r="CG82" i="23"/>
  <c r="AA65" i="23" s="1"/>
  <c r="CG77" i="23"/>
  <c r="AA64" i="23" s="1"/>
  <c r="CG65" i="23"/>
  <c r="AA61" i="23" s="1"/>
  <c r="CG54" i="23"/>
  <c r="AA60" i="23" s="1"/>
  <c r="CG36" i="23"/>
  <c r="AA52" i="23" s="1"/>
  <c r="CG37" i="23"/>
  <c r="CG28" i="23"/>
  <c r="AA51" i="23" s="1"/>
  <c r="CG4" i="23"/>
  <c r="AA45" i="23" s="1"/>
  <c r="AA48" i="23" s="1"/>
  <c r="H101" i="19"/>
  <c r="CE82" i="23" s="1"/>
  <c r="Y65" i="23" s="1"/>
  <c r="H96" i="19"/>
  <c r="CE77" i="23" s="1"/>
  <c r="Y64" i="23" s="1"/>
  <c r="H84" i="19"/>
  <c r="CE65" i="23" s="1"/>
  <c r="Y61" i="23" s="1"/>
  <c r="H73" i="19"/>
  <c r="CE54" i="23" s="1"/>
  <c r="Y60" i="23" s="1"/>
  <c r="H55" i="19"/>
  <c r="CE36" i="23" s="1"/>
  <c r="Y52" i="23" s="1"/>
  <c r="H56" i="19"/>
  <c r="CE37" i="23" s="1"/>
  <c r="H47" i="19"/>
  <c r="CE28" i="23" s="1"/>
  <c r="Y51" i="23" s="1"/>
  <c r="H38" i="19"/>
  <c r="CE19" i="23" s="1"/>
  <c r="Y50" i="23" s="1"/>
  <c r="H30" i="19"/>
  <c r="H23" i="19"/>
  <c r="CE4" i="23" s="1"/>
  <c r="Y45" i="23" s="1"/>
  <c r="Y48" i="23" s="1"/>
  <c r="G125" i="19"/>
  <c r="M125" i="19" s="1"/>
  <c r="BC105" i="23"/>
  <c r="G123" i="19"/>
  <c r="M123" i="19" s="1"/>
  <c r="G119" i="19"/>
  <c r="M119" i="19" s="1"/>
  <c r="BC99" i="23"/>
  <c r="BC96" i="23"/>
  <c r="G114" i="19"/>
  <c r="M114" i="19" s="1"/>
  <c r="G113" i="19"/>
  <c r="M113" i="19" s="1"/>
  <c r="BC93" i="23"/>
  <c r="G111" i="19"/>
  <c r="M111" i="19" s="1"/>
  <c r="G110" i="19"/>
  <c r="M110" i="19" s="1"/>
  <c r="G107" i="19"/>
  <c r="M107" i="19" s="1"/>
  <c r="G106" i="19"/>
  <c r="M106" i="19" s="1"/>
  <c r="BC86" i="23"/>
  <c r="BC85" i="23"/>
  <c r="G103" i="19"/>
  <c r="M103" i="19" s="1"/>
  <c r="BC83" i="23"/>
  <c r="G100" i="19"/>
  <c r="M100" i="19" s="1"/>
  <c r="BC80" i="23"/>
  <c r="BC79" i="23"/>
  <c r="BC78" i="23"/>
  <c r="G92" i="19"/>
  <c r="M92" i="19" s="1"/>
  <c r="G91" i="19"/>
  <c r="M91" i="19" s="1"/>
  <c r="BC71" i="23"/>
  <c r="BC70" i="23"/>
  <c r="G88" i="19"/>
  <c r="M88" i="19" s="1"/>
  <c r="G87" i="19"/>
  <c r="M87" i="19" s="1"/>
  <c r="G85" i="19"/>
  <c r="M85" i="19" s="1"/>
  <c r="G83" i="19"/>
  <c r="M83" i="19" s="1"/>
  <c r="G82" i="19"/>
  <c r="M82" i="19" s="1"/>
  <c r="BC62" i="23"/>
  <c r="G79" i="19"/>
  <c r="M79" i="19" s="1"/>
  <c r="G78" i="19"/>
  <c r="M78" i="19" s="1"/>
  <c r="BC58" i="23"/>
  <c r="BC57" i="23"/>
  <c r="BC55" i="23"/>
  <c r="G69" i="19"/>
  <c r="M69" i="19" s="1"/>
  <c r="BC49" i="23"/>
  <c r="BC48" i="23"/>
  <c r="G66" i="19"/>
  <c r="M66" i="19" s="1"/>
  <c r="G65" i="19"/>
  <c r="M65" i="19" s="1"/>
  <c r="G64" i="19"/>
  <c r="M64" i="19" s="1"/>
  <c r="G63" i="19"/>
  <c r="M63" i="19" s="1"/>
  <c r="G62" i="19"/>
  <c r="M62" i="19" s="1"/>
  <c r="G61" i="19"/>
  <c r="M61" i="19" s="1"/>
  <c r="BC41" i="23"/>
  <c r="G59" i="19"/>
  <c r="M59" i="19" s="1"/>
  <c r="G58" i="19"/>
  <c r="M58" i="19" s="1"/>
  <c r="G57" i="19"/>
  <c r="M57" i="19" s="1"/>
  <c r="G54" i="19"/>
  <c r="M54" i="19" s="1"/>
  <c r="G53" i="19"/>
  <c r="M53" i="19" s="1"/>
  <c r="BC33" i="23"/>
  <c r="G51" i="19"/>
  <c r="M51" i="19" s="1"/>
  <c r="BC31" i="23"/>
  <c r="BC30" i="23"/>
  <c r="G48" i="19"/>
  <c r="M48" i="19" s="1"/>
  <c r="G46" i="19"/>
  <c r="M46" i="19" s="1"/>
  <c r="BC26" i="23"/>
  <c r="G44" i="19"/>
  <c r="M44" i="19" s="1"/>
  <c r="G43" i="19"/>
  <c r="M43" i="19" s="1"/>
  <c r="G42" i="19"/>
  <c r="M42" i="19" s="1"/>
  <c r="BC22" i="23"/>
  <c r="G40" i="19"/>
  <c r="M40" i="19" s="1"/>
  <c r="G39" i="19"/>
  <c r="M39" i="19" s="1"/>
  <c r="G36" i="19"/>
  <c r="M36" i="19" s="1"/>
  <c r="G34" i="19"/>
  <c r="M34" i="19" s="1"/>
  <c r="G33" i="19"/>
  <c r="M33" i="19" s="1"/>
  <c r="G32" i="19"/>
  <c r="M32" i="19" s="1"/>
  <c r="G31" i="19"/>
  <c r="G29" i="19"/>
  <c r="M29" i="19" s="1"/>
  <c r="BC9" i="23"/>
  <c r="G27" i="19"/>
  <c r="M27" i="19" s="1"/>
  <c r="G26" i="19"/>
  <c r="M26" i="19" s="1"/>
  <c r="BC6" i="23"/>
  <c r="G24" i="19"/>
  <c r="M24" i="19" s="1"/>
  <c r="CC11" i="23"/>
  <c r="CC28" i="23"/>
  <c r="W51" i="23" s="1"/>
  <c r="CC36" i="23"/>
  <c r="CC37" i="23"/>
  <c r="CC54" i="23"/>
  <c r="W60" i="23" s="1"/>
  <c r="CC65" i="23"/>
  <c r="W61" i="23" s="1"/>
  <c r="CC82" i="23"/>
  <c r="W65" i="23" s="1"/>
  <c r="L134" i="18"/>
  <c r="L133" i="18"/>
  <c r="L132" i="18"/>
  <c r="L131" i="18"/>
  <c r="L130" i="18"/>
  <c r="L128" i="18"/>
  <c r="L127" i="18"/>
  <c r="G125" i="18"/>
  <c r="BA106" i="23" s="1"/>
  <c r="G124" i="18"/>
  <c r="BA105" i="23" s="1"/>
  <c r="G123" i="18"/>
  <c r="BA104" i="23" s="1"/>
  <c r="L122" i="18"/>
  <c r="G119" i="18"/>
  <c r="BA100" i="23" s="1"/>
  <c r="G118" i="18"/>
  <c r="BA99" i="23" s="1"/>
  <c r="BA96" i="23"/>
  <c r="G114" i="18"/>
  <c r="BA95" i="23" s="1"/>
  <c r="G113" i="18"/>
  <c r="BA94" i="23" s="1"/>
  <c r="G112" i="18"/>
  <c r="BA93" i="23" s="1"/>
  <c r="G111" i="18"/>
  <c r="BA92" i="23" s="1"/>
  <c r="G110" i="18"/>
  <c r="BA91" i="23" s="1"/>
  <c r="G107" i="18"/>
  <c r="BA88" i="23" s="1"/>
  <c r="G106" i="18"/>
  <c r="BA87" i="23" s="1"/>
  <c r="G105" i="18"/>
  <c r="BA86" i="23" s="1"/>
  <c r="G104" i="18"/>
  <c r="BA85" i="23" s="1"/>
  <c r="G103" i="18"/>
  <c r="BA84" i="23" s="1"/>
  <c r="G102" i="18"/>
  <c r="BA83" i="23" s="1"/>
  <c r="BA81" i="23"/>
  <c r="BA80" i="23"/>
  <c r="BA79" i="23"/>
  <c r="BA78" i="23"/>
  <c r="G92" i="18"/>
  <c r="BA73" i="23" s="1"/>
  <c r="G91" i="18"/>
  <c r="BA72" i="23" s="1"/>
  <c r="BA71" i="23"/>
  <c r="G89" i="18"/>
  <c r="BA70" i="23" s="1"/>
  <c r="G88" i="18"/>
  <c r="BA69" i="23" s="1"/>
  <c r="G87" i="18"/>
  <c r="G85" i="18"/>
  <c r="G83" i="18"/>
  <c r="BA64" i="23" s="1"/>
  <c r="G82" i="18"/>
  <c r="BA63" i="23" s="1"/>
  <c r="BA62" i="23"/>
  <c r="G80" i="18"/>
  <c r="BA61" i="23" s="1"/>
  <c r="G79" i="18"/>
  <c r="BA60" i="23" s="1"/>
  <c r="G78" i="18"/>
  <c r="BA59" i="23" s="1"/>
  <c r="G77" i="18"/>
  <c r="BA58" i="23" s="1"/>
  <c r="G76" i="18"/>
  <c r="BA57" i="23" s="1"/>
  <c r="G74" i="18"/>
  <c r="BA55" i="23" s="1"/>
  <c r="L72" i="18"/>
  <c r="G69" i="18"/>
  <c r="BA50" i="23" s="1"/>
  <c r="G68" i="18"/>
  <c r="BA49" i="23" s="1"/>
  <c r="G67" i="18"/>
  <c r="BA48" i="23" s="1"/>
  <c r="G66" i="18"/>
  <c r="BA47" i="23" s="1"/>
  <c r="G65" i="18"/>
  <c r="BA46" i="23" s="1"/>
  <c r="G64" i="18"/>
  <c r="BA45" i="23" s="1"/>
  <c r="G63" i="18"/>
  <c r="BA44" i="23" s="1"/>
  <c r="G62" i="18"/>
  <c r="BA43" i="23" s="1"/>
  <c r="G61" i="18"/>
  <c r="BA42" i="23" s="1"/>
  <c r="G60" i="18"/>
  <c r="BA41" i="23" s="1"/>
  <c r="G59" i="18"/>
  <c r="BA40" i="23" s="1"/>
  <c r="G58" i="18"/>
  <c r="BA39" i="23" s="1"/>
  <c r="G57" i="18"/>
  <c r="BA38" i="23" s="1"/>
  <c r="G54" i="18"/>
  <c r="BA35" i="23" s="1"/>
  <c r="G53" i="18"/>
  <c r="BA34" i="23" s="1"/>
  <c r="G52" i="18"/>
  <c r="BA33" i="23" s="1"/>
  <c r="G51" i="18"/>
  <c r="BA32" i="23" s="1"/>
  <c r="G50" i="18"/>
  <c r="BA31" i="23" s="1"/>
  <c r="G49" i="18"/>
  <c r="BA30" i="23" s="1"/>
  <c r="G48" i="18"/>
  <c r="BA29" i="23" s="1"/>
  <c r="G46" i="18"/>
  <c r="BA27" i="23" s="1"/>
  <c r="G45" i="18"/>
  <c r="BA26" i="23" s="1"/>
  <c r="G44" i="18"/>
  <c r="BA25" i="23" s="1"/>
  <c r="G43" i="18"/>
  <c r="BA24" i="23" s="1"/>
  <c r="G42" i="18"/>
  <c r="BA23" i="23" s="1"/>
  <c r="G41" i="18"/>
  <c r="BA22" i="23" s="1"/>
  <c r="G40" i="18"/>
  <c r="BA21" i="23" s="1"/>
  <c r="G39" i="18"/>
  <c r="BA20" i="23" s="1"/>
  <c r="G36" i="18"/>
  <c r="G35" i="18"/>
  <c r="G34" i="18"/>
  <c r="BA15" i="23" s="1"/>
  <c r="G33" i="18"/>
  <c r="BA14" i="23" s="1"/>
  <c r="G32" i="18"/>
  <c r="BA13" i="23" s="1"/>
  <c r="G31" i="18"/>
  <c r="BA12" i="23" s="1"/>
  <c r="G29" i="18"/>
  <c r="BA10" i="23" s="1"/>
  <c r="G28" i="18"/>
  <c r="BA9" i="23" s="1"/>
  <c r="G27" i="18"/>
  <c r="BA8" i="23" s="1"/>
  <c r="G26" i="18"/>
  <c r="BA7" i="23" s="1"/>
  <c r="G24" i="18"/>
  <c r="BA5" i="23" s="1"/>
  <c r="H101" i="17"/>
  <c r="CA82" i="23" s="1"/>
  <c r="H96" i="17"/>
  <c r="CA77" i="23" s="1"/>
  <c r="H73" i="17"/>
  <c r="CA54" i="23" s="1"/>
  <c r="H55" i="17"/>
  <c r="CA36" i="23" s="1"/>
  <c r="H56" i="17"/>
  <c r="CA37" i="23" s="1"/>
  <c r="H47" i="17"/>
  <c r="CA28" i="23" s="1"/>
  <c r="H38" i="17"/>
  <c r="H30" i="17"/>
  <c r="CA11" i="23" s="1"/>
  <c r="H23" i="17"/>
  <c r="CA4" i="23" s="1"/>
  <c r="W62" i="23" l="1"/>
  <c r="Y62" i="23"/>
  <c r="W52" i="23"/>
  <c r="G30" i="19"/>
  <c r="M30" i="19" s="1"/>
  <c r="M31" i="19"/>
  <c r="Y57" i="23"/>
  <c r="Y58" i="23" s="1"/>
  <c r="Y68" i="23"/>
  <c r="AA68" i="23"/>
  <c r="AA62" i="23"/>
  <c r="CC76" i="23"/>
  <c r="CC77" i="23"/>
  <c r="W64" i="23" s="1"/>
  <c r="W68" i="23" s="1"/>
  <c r="CC18" i="23"/>
  <c r="CC19" i="23"/>
  <c r="W50" i="23" s="1"/>
  <c r="W57" i="23" s="1"/>
  <c r="CC3" i="23"/>
  <c r="CC4" i="23"/>
  <c r="W45" i="23" s="1"/>
  <c r="W48" i="23" s="1"/>
  <c r="CA99" i="23"/>
  <c r="CJ99" i="23" s="1"/>
  <c r="J118" i="16"/>
  <c r="H93" i="17"/>
  <c r="CA74" i="23" s="1"/>
  <c r="H37" i="17"/>
  <c r="CA18" i="23" s="1"/>
  <c r="CA19" i="23"/>
  <c r="H94" i="17"/>
  <c r="CA75" i="23" s="1"/>
  <c r="BC7" i="23"/>
  <c r="BC20" i="23"/>
  <c r="BC24" i="23"/>
  <c r="BC29" i="23"/>
  <c r="BC47" i="23"/>
  <c r="BC69" i="23"/>
  <c r="BC5" i="23"/>
  <c r="BC11" i="23"/>
  <c r="BC35" i="23"/>
  <c r="BC39" i="23"/>
  <c r="BC43" i="23"/>
  <c r="BC45" i="23"/>
  <c r="BC59" i="23"/>
  <c r="BC61" i="23"/>
  <c r="BC63" i="23"/>
  <c r="BC66" i="23"/>
  <c r="BC73" i="23"/>
  <c r="BC81" i="23"/>
  <c r="BC84" i="23"/>
  <c r="BC88" i="23"/>
  <c r="Y26" i="23" s="1"/>
  <c r="BC92" i="23"/>
  <c r="BC94" i="23"/>
  <c r="Y33" i="23" s="1"/>
  <c r="BC100" i="23"/>
  <c r="Y37" i="23" s="1"/>
  <c r="BC104" i="23"/>
  <c r="BC106" i="23"/>
  <c r="BC8" i="23"/>
  <c r="BC10" i="23"/>
  <c r="BC12" i="23"/>
  <c r="BC13" i="23"/>
  <c r="BC14" i="23"/>
  <c r="BC15" i="23"/>
  <c r="BC21" i="23"/>
  <c r="BC23" i="23"/>
  <c r="BC25" i="23"/>
  <c r="BC27" i="23"/>
  <c r="BC32" i="23"/>
  <c r="BC34" i="23"/>
  <c r="BC38" i="23"/>
  <c r="BC40" i="23"/>
  <c r="BC42" i="23"/>
  <c r="BC44" i="23"/>
  <c r="BC46" i="23"/>
  <c r="Y12" i="23" s="1"/>
  <c r="BC50" i="23"/>
  <c r="BC60" i="23"/>
  <c r="BC64" i="23"/>
  <c r="BC68" i="23"/>
  <c r="BC72" i="23"/>
  <c r="BC87" i="23"/>
  <c r="Y25" i="23" s="1"/>
  <c r="BC91" i="23"/>
  <c r="Y30" i="23" s="1"/>
  <c r="BC95" i="23"/>
  <c r="Y34" i="23" s="1"/>
  <c r="CE11" i="23"/>
  <c r="CE100" i="23"/>
  <c r="CJ100" i="23" s="1"/>
  <c r="J119" i="16"/>
  <c r="CG19" i="23"/>
  <c r="AA50" i="23" s="1"/>
  <c r="AA57" i="23" s="1"/>
  <c r="AA58" i="23" s="1"/>
  <c r="BE104" i="23"/>
  <c r="BE106" i="23"/>
  <c r="BE105" i="23"/>
  <c r="BE55" i="23"/>
  <c r="BE58" i="23"/>
  <c r="BE60" i="23"/>
  <c r="BE62" i="23"/>
  <c r="BE64" i="23"/>
  <c r="BE68" i="23"/>
  <c r="BE70" i="23"/>
  <c r="BE72" i="23"/>
  <c r="BE78" i="23"/>
  <c r="BE80" i="23"/>
  <c r="BE84" i="23"/>
  <c r="BE86" i="23"/>
  <c r="BE88" i="23"/>
  <c r="AA26" i="23" s="1"/>
  <c r="BE92" i="23"/>
  <c r="AA31" i="23" s="1"/>
  <c r="BE94" i="23"/>
  <c r="AA33" i="23" s="1"/>
  <c r="BE96" i="23"/>
  <c r="BE100" i="23"/>
  <c r="BE57" i="23"/>
  <c r="BE59" i="23"/>
  <c r="BE61" i="23"/>
  <c r="BE63" i="23"/>
  <c r="BE66" i="23"/>
  <c r="BE69" i="23"/>
  <c r="BE71" i="23"/>
  <c r="BE73" i="23"/>
  <c r="BE79" i="23"/>
  <c r="BE81" i="23"/>
  <c r="BE83" i="23"/>
  <c r="BE85" i="23"/>
  <c r="BE87" i="23"/>
  <c r="AA25" i="23" s="1"/>
  <c r="BE91" i="23"/>
  <c r="AA30" i="23" s="1"/>
  <c r="BE93" i="23"/>
  <c r="AA32" i="23" s="1"/>
  <c r="BE95" i="23"/>
  <c r="AA34" i="23" s="1"/>
  <c r="BE99" i="23"/>
  <c r="BE5" i="23"/>
  <c r="BE7" i="23"/>
  <c r="BE9" i="23"/>
  <c r="BE12" i="23"/>
  <c r="BE14" i="23"/>
  <c r="BE16" i="23"/>
  <c r="AA5" i="23" s="1"/>
  <c r="BE20" i="23"/>
  <c r="BE22" i="23"/>
  <c r="BE24" i="23"/>
  <c r="BE26" i="23"/>
  <c r="BE29" i="23"/>
  <c r="BE31" i="23"/>
  <c r="BE33" i="23"/>
  <c r="BE35" i="23"/>
  <c r="BE39" i="23"/>
  <c r="BE41" i="23"/>
  <c r="BE43" i="23"/>
  <c r="BE45" i="23"/>
  <c r="BE47" i="23"/>
  <c r="BE49" i="23"/>
  <c r="AA14" i="23" s="1"/>
  <c r="BE6" i="23"/>
  <c r="BE8" i="23"/>
  <c r="BE10" i="23"/>
  <c r="BE13" i="23"/>
  <c r="BE15" i="23"/>
  <c r="BE17" i="23"/>
  <c r="AA6" i="23" s="1"/>
  <c r="BE21" i="23"/>
  <c r="BE23" i="23"/>
  <c r="BE25" i="23"/>
  <c r="BE27" i="23"/>
  <c r="BE30" i="23"/>
  <c r="BE32" i="23"/>
  <c r="BE34" i="23"/>
  <c r="BE38" i="23"/>
  <c r="BE40" i="23"/>
  <c r="BE42" i="23"/>
  <c r="BE44" i="23"/>
  <c r="BE46" i="23"/>
  <c r="AA12" i="23" s="1"/>
  <c r="BE48" i="23"/>
  <c r="BE50" i="23"/>
  <c r="AA15" i="23" s="1"/>
  <c r="BA17" i="23"/>
  <c r="W6" i="23" s="1"/>
  <c r="G86" i="18"/>
  <c r="BA67" i="23" s="1"/>
  <c r="BA68" i="23"/>
  <c r="BA16" i="23"/>
  <c r="W5" i="23" s="1"/>
  <c r="BA66" i="23"/>
  <c r="BC16" i="23"/>
  <c r="Y5" i="23" s="1"/>
  <c r="BC17" i="23"/>
  <c r="Y6" i="23" s="1"/>
  <c r="AA13" i="23"/>
  <c r="AA35" i="23"/>
  <c r="Y13" i="23"/>
  <c r="Y15" i="23"/>
  <c r="Y32" i="23"/>
  <c r="Y14" i="23"/>
  <c r="G86" i="19"/>
  <c r="M86" i="19" s="1"/>
  <c r="Y31" i="23"/>
  <c r="Y35" i="23"/>
  <c r="L25" i="18"/>
  <c r="L27" i="18"/>
  <c r="L29" i="18"/>
  <c r="L39" i="18"/>
  <c r="L41" i="18"/>
  <c r="L43" i="18"/>
  <c r="L45" i="18"/>
  <c r="L50" i="18"/>
  <c r="L52" i="18"/>
  <c r="L54" i="18"/>
  <c r="L58" i="18"/>
  <c r="L60" i="18"/>
  <c r="L62" i="18"/>
  <c r="L64" i="18"/>
  <c r="L66" i="18"/>
  <c r="L68" i="18"/>
  <c r="W14" i="23"/>
  <c r="L76" i="18"/>
  <c r="L78" i="18"/>
  <c r="L80" i="18"/>
  <c r="L82" i="18"/>
  <c r="L88" i="18"/>
  <c r="L90" i="18"/>
  <c r="L92" i="18"/>
  <c r="L98" i="18"/>
  <c r="L100" i="18"/>
  <c r="L103" i="18"/>
  <c r="L105" i="18"/>
  <c r="L107" i="18"/>
  <c r="W26" i="23"/>
  <c r="L111" i="18"/>
  <c r="W31" i="23"/>
  <c r="L113" i="18"/>
  <c r="W33" i="23"/>
  <c r="L115" i="18"/>
  <c r="W35" i="23"/>
  <c r="L119" i="18"/>
  <c r="L123" i="18"/>
  <c r="L125" i="18"/>
  <c r="L26" i="18"/>
  <c r="L28" i="18"/>
  <c r="G30" i="18"/>
  <c r="BA11" i="23" s="1"/>
  <c r="L31" i="18"/>
  <c r="L32" i="18"/>
  <c r="L33" i="18"/>
  <c r="L34" i="18"/>
  <c r="L35" i="18"/>
  <c r="L36" i="18"/>
  <c r="L40" i="18"/>
  <c r="L42" i="18"/>
  <c r="L44" i="18"/>
  <c r="L46" i="18"/>
  <c r="L49" i="18"/>
  <c r="L51" i="18"/>
  <c r="L53" i="18"/>
  <c r="L59" i="18"/>
  <c r="L61" i="18"/>
  <c r="L63" i="18"/>
  <c r="L65" i="18"/>
  <c r="W12" i="23"/>
  <c r="L67" i="18"/>
  <c r="W13" i="23"/>
  <c r="L69" i="18"/>
  <c r="W15" i="23"/>
  <c r="L77" i="18"/>
  <c r="L79" i="18"/>
  <c r="L81" i="18"/>
  <c r="L83" i="18"/>
  <c r="L85" i="18"/>
  <c r="L87" i="18"/>
  <c r="L89" i="18"/>
  <c r="L91" i="18"/>
  <c r="L97" i="18"/>
  <c r="L99" i="18"/>
  <c r="L104" i="18"/>
  <c r="L106" i="18"/>
  <c r="W25" i="23"/>
  <c r="L110" i="18"/>
  <c r="W30" i="23"/>
  <c r="L112" i="18"/>
  <c r="W32" i="23"/>
  <c r="L114" i="18"/>
  <c r="W34" i="23"/>
  <c r="L118" i="18"/>
  <c r="L124" i="18"/>
  <c r="CG75" i="23"/>
  <c r="CG74" i="23"/>
  <c r="CG3" i="23"/>
  <c r="H94" i="19"/>
  <c r="CE75" i="23" s="1"/>
  <c r="H93" i="19"/>
  <c r="CE74" i="23" s="1"/>
  <c r="CC75" i="23"/>
  <c r="CG76" i="23"/>
  <c r="CG18" i="23"/>
  <c r="G38" i="19"/>
  <c r="M38" i="19" s="1"/>
  <c r="G96" i="19"/>
  <c r="M96" i="19" s="1"/>
  <c r="H95" i="19"/>
  <c r="CE76" i="23" s="1"/>
  <c r="H37" i="19"/>
  <c r="CE18" i="23" s="1"/>
  <c r="H22" i="19"/>
  <c r="G75" i="19"/>
  <c r="M75" i="19" s="1"/>
  <c r="G23" i="19"/>
  <c r="M23" i="19" s="1"/>
  <c r="G47" i="19"/>
  <c r="M47" i="19" s="1"/>
  <c r="G101" i="19"/>
  <c r="M101" i="19" s="1"/>
  <c r="G55" i="19"/>
  <c r="M55" i="19" s="1"/>
  <c r="G56" i="19"/>
  <c r="M56" i="19" s="1"/>
  <c r="G38" i="18"/>
  <c r="G96" i="18"/>
  <c r="BA77" i="23" s="1"/>
  <c r="CC51" i="23"/>
  <c r="CC52" i="23"/>
  <c r="CC74" i="23"/>
  <c r="G75" i="18"/>
  <c r="BA56" i="23" s="1"/>
  <c r="L24" i="18"/>
  <c r="G23" i="18"/>
  <c r="L38" i="18"/>
  <c r="L48" i="18"/>
  <c r="G47" i="18"/>
  <c r="BA28" i="23" s="1"/>
  <c r="L102" i="18"/>
  <c r="G101" i="18"/>
  <c r="BA82" i="23" s="1"/>
  <c r="G55" i="18"/>
  <c r="BA36" i="23" s="1"/>
  <c r="L57" i="18"/>
  <c r="G56" i="18"/>
  <c r="BA37" i="23" s="1"/>
  <c r="L74" i="18"/>
  <c r="G73" i="18"/>
  <c r="H95" i="17"/>
  <c r="CA76" i="23" s="1"/>
  <c r="H22" i="17"/>
  <c r="L134" i="17"/>
  <c r="L133" i="17"/>
  <c r="L132" i="17"/>
  <c r="L131" i="17"/>
  <c r="L128" i="17"/>
  <c r="L127" i="17"/>
  <c r="G125" i="17"/>
  <c r="AY106" i="23" s="1"/>
  <c r="AY105" i="23"/>
  <c r="G123" i="17"/>
  <c r="AY104" i="23" s="1"/>
  <c r="L122" i="17"/>
  <c r="G119" i="17"/>
  <c r="AY100" i="23" s="1"/>
  <c r="G118" i="17"/>
  <c r="AY99" i="23" s="1"/>
  <c r="AY96" i="23"/>
  <c r="G114" i="17"/>
  <c r="AY95" i="23" s="1"/>
  <c r="G113" i="17"/>
  <c r="AY94" i="23" s="1"/>
  <c r="G112" i="17"/>
  <c r="AY93" i="23" s="1"/>
  <c r="G111" i="17"/>
  <c r="AY92" i="23" s="1"/>
  <c r="G110" i="17"/>
  <c r="AY91" i="23" s="1"/>
  <c r="G107" i="17"/>
  <c r="AY88" i="23" s="1"/>
  <c r="G106" i="17"/>
  <c r="AY87" i="23" s="1"/>
  <c r="G105" i="17"/>
  <c r="AY86" i="23" s="1"/>
  <c r="G104" i="17"/>
  <c r="AY85" i="23" s="1"/>
  <c r="G103" i="17"/>
  <c r="AY84" i="23" s="1"/>
  <c r="G102" i="17"/>
  <c r="AY83" i="23" s="1"/>
  <c r="AY81" i="23"/>
  <c r="AY80" i="23"/>
  <c r="AY79" i="23"/>
  <c r="AY78" i="23"/>
  <c r="G92" i="17"/>
  <c r="AY73" i="23" s="1"/>
  <c r="G91" i="17"/>
  <c r="AY72" i="23" s="1"/>
  <c r="G90" i="17"/>
  <c r="AY71" i="23" s="1"/>
  <c r="AY70" i="23"/>
  <c r="G88" i="17"/>
  <c r="AY69" i="23" s="1"/>
  <c r="G87" i="17"/>
  <c r="AY68" i="23" s="1"/>
  <c r="G85" i="17"/>
  <c r="AY66" i="23" s="1"/>
  <c r="G83" i="17"/>
  <c r="AY64" i="23" s="1"/>
  <c r="G82" i="17"/>
  <c r="AY63" i="23" s="1"/>
  <c r="G81" i="17"/>
  <c r="AY62" i="23" s="1"/>
  <c r="AY61" i="23"/>
  <c r="G79" i="17"/>
  <c r="AY60" i="23" s="1"/>
  <c r="G78" i="17"/>
  <c r="AY59" i="23" s="1"/>
  <c r="G77" i="17"/>
  <c r="AY58" i="23" s="1"/>
  <c r="G76" i="17"/>
  <c r="AY57" i="23" s="1"/>
  <c r="G74" i="17"/>
  <c r="AY55" i="23" s="1"/>
  <c r="L72" i="17"/>
  <c r="G69" i="17"/>
  <c r="AY50" i="23" s="1"/>
  <c r="G68" i="17"/>
  <c r="AY49" i="23" s="1"/>
  <c r="G67" i="17"/>
  <c r="AY48" i="23" s="1"/>
  <c r="G66" i="17"/>
  <c r="AY47" i="23" s="1"/>
  <c r="G65" i="17"/>
  <c r="AY46" i="23" s="1"/>
  <c r="G64" i="17"/>
  <c r="AY45" i="23" s="1"/>
  <c r="G63" i="17"/>
  <c r="AY44" i="23" s="1"/>
  <c r="G62" i="17"/>
  <c r="AY43" i="23" s="1"/>
  <c r="G61" i="17"/>
  <c r="AY42" i="23" s="1"/>
  <c r="G60" i="17"/>
  <c r="AY41" i="23" s="1"/>
  <c r="G59" i="17"/>
  <c r="AY40" i="23" s="1"/>
  <c r="G58" i="17"/>
  <c r="AY39" i="23" s="1"/>
  <c r="G57" i="17"/>
  <c r="AY38" i="23" s="1"/>
  <c r="G54" i="17"/>
  <c r="AY35" i="23" s="1"/>
  <c r="G53" i="17"/>
  <c r="AY34" i="23" s="1"/>
  <c r="G52" i="17"/>
  <c r="AY33" i="23" s="1"/>
  <c r="G51" i="17"/>
  <c r="AY32" i="23" s="1"/>
  <c r="AY31" i="23"/>
  <c r="G49" i="17"/>
  <c r="AY30" i="23" s="1"/>
  <c r="G48" i="17"/>
  <c r="AY29" i="23" s="1"/>
  <c r="G46" i="17"/>
  <c r="AY27" i="23" s="1"/>
  <c r="G45" i="17"/>
  <c r="AY26" i="23" s="1"/>
  <c r="G44" i="17"/>
  <c r="AY25" i="23" s="1"/>
  <c r="G43" i="17"/>
  <c r="AY24" i="23" s="1"/>
  <c r="G42" i="17"/>
  <c r="AY23" i="23" s="1"/>
  <c r="G41" i="17"/>
  <c r="AY22" i="23" s="1"/>
  <c r="G40" i="17"/>
  <c r="AY21" i="23" s="1"/>
  <c r="G39" i="17"/>
  <c r="AY20" i="23" s="1"/>
  <c r="G36" i="17"/>
  <c r="G35" i="17"/>
  <c r="G34" i="17"/>
  <c r="AY15" i="23" s="1"/>
  <c r="G33" i="17"/>
  <c r="AY14" i="23" s="1"/>
  <c r="G32" i="17"/>
  <c r="AY13" i="23" s="1"/>
  <c r="G31" i="17"/>
  <c r="AY12" i="23" s="1"/>
  <c r="G29" i="17"/>
  <c r="AY10" i="23" s="1"/>
  <c r="G28" i="17"/>
  <c r="AY9" i="23" s="1"/>
  <c r="G27" i="17"/>
  <c r="AY8" i="23" s="1"/>
  <c r="G26" i="17"/>
  <c r="AY7" i="23" s="1"/>
  <c r="G25" i="17"/>
  <c r="AY6" i="23" s="1"/>
  <c r="G24" i="17"/>
  <c r="AY5" i="23" s="1"/>
  <c r="H101" i="16"/>
  <c r="H96" i="16"/>
  <c r="BY77" i="23" s="1"/>
  <c r="H84" i="16"/>
  <c r="H73" i="16"/>
  <c r="BY54" i="23" s="1"/>
  <c r="H55" i="16"/>
  <c r="H56" i="16"/>
  <c r="H47" i="16"/>
  <c r="BY28" i="23" s="1"/>
  <c r="H38" i="16"/>
  <c r="BY19" i="23" s="1"/>
  <c r="H30" i="16"/>
  <c r="BY11" i="23" s="1"/>
  <c r="H23" i="16"/>
  <c r="M134" i="16"/>
  <c r="M133" i="16"/>
  <c r="M132" i="16"/>
  <c r="M131" i="16"/>
  <c r="M130" i="16"/>
  <c r="M128" i="16"/>
  <c r="M127" i="16"/>
  <c r="G125" i="16"/>
  <c r="AW106" i="23" s="1"/>
  <c r="G124" i="16"/>
  <c r="AW105" i="23" s="1"/>
  <c r="G123" i="16"/>
  <c r="AW104" i="23" s="1"/>
  <c r="M122" i="16"/>
  <c r="G119" i="16"/>
  <c r="AW100" i="23" s="1"/>
  <c r="G118" i="16"/>
  <c r="AW99" i="23" s="1"/>
  <c r="AW96" i="23"/>
  <c r="G114" i="16"/>
  <c r="AW95" i="23" s="1"/>
  <c r="G113" i="16"/>
  <c r="AW94" i="23" s="1"/>
  <c r="G112" i="16"/>
  <c r="AW93" i="23" s="1"/>
  <c r="G111" i="16"/>
  <c r="AW92" i="23" s="1"/>
  <c r="G110" i="16"/>
  <c r="AW91" i="23" s="1"/>
  <c r="G107" i="16"/>
  <c r="AW88" i="23" s="1"/>
  <c r="G106" i="16"/>
  <c r="AW87" i="23" s="1"/>
  <c r="G105" i="16"/>
  <c r="AW86" i="23" s="1"/>
  <c r="G104" i="16"/>
  <c r="AW85" i="23" s="1"/>
  <c r="G103" i="16"/>
  <c r="AW84" i="23" s="1"/>
  <c r="G102" i="16"/>
  <c r="AW83" i="23" s="1"/>
  <c r="AW81" i="23"/>
  <c r="AW80" i="23"/>
  <c r="AW79" i="23"/>
  <c r="AW78" i="23"/>
  <c r="G92" i="16"/>
  <c r="AW73" i="23" s="1"/>
  <c r="G91" i="16"/>
  <c r="AW72" i="23" s="1"/>
  <c r="G90" i="16"/>
  <c r="AW71" i="23" s="1"/>
  <c r="G89" i="16"/>
  <c r="AW70" i="23" s="1"/>
  <c r="G88" i="16"/>
  <c r="AW69" i="23" s="1"/>
  <c r="G87" i="16"/>
  <c r="AW68" i="23" s="1"/>
  <c r="G85" i="16"/>
  <c r="AW66" i="23" s="1"/>
  <c r="G83" i="16"/>
  <c r="AW64" i="23" s="1"/>
  <c r="G82" i="16"/>
  <c r="AW63" i="23" s="1"/>
  <c r="G81" i="16"/>
  <c r="AW62" i="23" s="1"/>
  <c r="G80" i="16"/>
  <c r="AW61" i="23" s="1"/>
  <c r="G79" i="16"/>
  <c r="AW60" i="23" s="1"/>
  <c r="G78" i="16"/>
  <c r="AW59" i="23" s="1"/>
  <c r="G77" i="16"/>
  <c r="AW58" i="23" s="1"/>
  <c r="G76" i="16"/>
  <c r="AW57" i="23" s="1"/>
  <c r="G74" i="16"/>
  <c r="AW55" i="23" s="1"/>
  <c r="M72" i="16"/>
  <c r="G69" i="16"/>
  <c r="AW50" i="23" s="1"/>
  <c r="G68" i="16"/>
  <c r="AW49" i="23" s="1"/>
  <c r="G67" i="16"/>
  <c r="AW48" i="23" s="1"/>
  <c r="G66" i="16"/>
  <c r="AW47" i="23" s="1"/>
  <c r="G65" i="16"/>
  <c r="AW46" i="23" s="1"/>
  <c r="G64" i="16"/>
  <c r="AW45" i="23" s="1"/>
  <c r="G63" i="16"/>
  <c r="AW44" i="23" s="1"/>
  <c r="G62" i="16"/>
  <c r="AW43" i="23" s="1"/>
  <c r="G61" i="16"/>
  <c r="AW42" i="23" s="1"/>
  <c r="G60" i="16"/>
  <c r="AW41" i="23" s="1"/>
  <c r="G59" i="16"/>
  <c r="AW40" i="23" s="1"/>
  <c r="G58" i="16"/>
  <c r="AW39" i="23" s="1"/>
  <c r="G57" i="16"/>
  <c r="AW38" i="23" s="1"/>
  <c r="G54" i="16"/>
  <c r="AW35" i="23" s="1"/>
  <c r="G53" i="16"/>
  <c r="AW34" i="23" s="1"/>
  <c r="G52" i="16"/>
  <c r="AW33" i="23" s="1"/>
  <c r="G51" i="16"/>
  <c r="AW32" i="23" s="1"/>
  <c r="G50" i="16"/>
  <c r="AW31" i="23" s="1"/>
  <c r="G49" i="16"/>
  <c r="AW30" i="23" s="1"/>
  <c r="G48" i="16"/>
  <c r="AW29" i="23" s="1"/>
  <c r="G46" i="16"/>
  <c r="AW27" i="23" s="1"/>
  <c r="G45" i="16"/>
  <c r="AW26" i="23" s="1"/>
  <c r="G44" i="16"/>
  <c r="AW25" i="23" s="1"/>
  <c r="G43" i="16"/>
  <c r="AW24" i="23" s="1"/>
  <c r="G42" i="16"/>
  <c r="AW23" i="23" s="1"/>
  <c r="G41" i="16"/>
  <c r="AW22" i="23" s="1"/>
  <c r="G40" i="16"/>
  <c r="AW21" i="23" s="1"/>
  <c r="G39" i="16"/>
  <c r="AW20" i="23" s="1"/>
  <c r="G36" i="16"/>
  <c r="AW17" i="23" s="1"/>
  <c r="G35" i="16"/>
  <c r="AW16" i="23" s="1"/>
  <c r="G34" i="16"/>
  <c r="AW15" i="23" s="1"/>
  <c r="G33" i="16"/>
  <c r="AW14" i="23" s="1"/>
  <c r="G32" i="16"/>
  <c r="AW13" i="23" s="1"/>
  <c r="G31" i="16"/>
  <c r="AW12" i="23" s="1"/>
  <c r="G29" i="16"/>
  <c r="AW10" i="23" s="1"/>
  <c r="G28" i="16"/>
  <c r="AW9" i="23" s="1"/>
  <c r="G27" i="16"/>
  <c r="AW8" i="23" s="1"/>
  <c r="G26" i="16"/>
  <c r="AW7" i="23" s="1"/>
  <c r="G25" i="16"/>
  <c r="AW6" i="23" s="1"/>
  <c r="G24" i="16"/>
  <c r="AW5" i="23" s="1"/>
  <c r="H101" i="15"/>
  <c r="BW82" i="23" s="1"/>
  <c r="H96" i="15"/>
  <c r="BW77" i="23" s="1"/>
  <c r="H84" i="15"/>
  <c r="BW65" i="23" s="1"/>
  <c r="H73" i="15"/>
  <c r="BW54" i="23" s="1"/>
  <c r="H55" i="15"/>
  <c r="BW36" i="23" s="1"/>
  <c r="H56" i="15"/>
  <c r="BW37" i="23" s="1"/>
  <c r="H47" i="15"/>
  <c r="BW28" i="23" s="1"/>
  <c r="H38" i="15"/>
  <c r="BW19" i="23" s="1"/>
  <c r="H30" i="15"/>
  <c r="H23" i="15"/>
  <c r="BW4" i="23" s="1"/>
  <c r="BU82" i="23"/>
  <c r="O65" i="23" s="1"/>
  <c r="BU77" i="23"/>
  <c r="O64" i="23" s="1"/>
  <c r="BU65" i="23"/>
  <c r="O61" i="23" s="1"/>
  <c r="BU54" i="23"/>
  <c r="O60" i="23" s="1"/>
  <c r="BU36" i="23"/>
  <c r="O52" i="23" s="1"/>
  <c r="BU37" i="23"/>
  <c r="BU19" i="23"/>
  <c r="O50" i="23" s="1"/>
  <c r="BU11" i="23"/>
  <c r="BU4" i="23"/>
  <c r="O45" i="23" s="1"/>
  <c r="O48" i="23" s="1"/>
  <c r="L134" i="15"/>
  <c r="L133" i="15"/>
  <c r="L132" i="15"/>
  <c r="L131" i="15"/>
  <c r="L130" i="15"/>
  <c r="L128" i="15"/>
  <c r="L127" i="15"/>
  <c r="G125" i="15"/>
  <c r="AU106" i="23" s="1"/>
  <c r="G124" i="15"/>
  <c r="AU105" i="23" s="1"/>
  <c r="G123" i="15"/>
  <c r="AU104" i="23" s="1"/>
  <c r="L122" i="15"/>
  <c r="G119" i="15"/>
  <c r="AU100" i="23" s="1"/>
  <c r="G118" i="15"/>
  <c r="AU99" i="23" s="1"/>
  <c r="G115" i="15"/>
  <c r="AU96" i="23" s="1"/>
  <c r="G114" i="15"/>
  <c r="AU95" i="23" s="1"/>
  <c r="G113" i="15"/>
  <c r="AU94" i="23" s="1"/>
  <c r="G112" i="15"/>
  <c r="AU93" i="23" s="1"/>
  <c r="G111" i="15"/>
  <c r="AU92" i="23" s="1"/>
  <c r="G110" i="15"/>
  <c r="AU91" i="23" s="1"/>
  <c r="G107" i="15"/>
  <c r="AU88" i="23" s="1"/>
  <c r="G106" i="15"/>
  <c r="AU87" i="23" s="1"/>
  <c r="G105" i="15"/>
  <c r="AU86" i="23" s="1"/>
  <c r="G104" i="15"/>
  <c r="AU85" i="23" s="1"/>
  <c r="G103" i="15"/>
  <c r="AU84" i="23" s="1"/>
  <c r="G102" i="15"/>
  <c r="AU83" i="23" s="1"/>
  <c r="AU81" i="23"/>
  <c r="G99" i="15"/>
  <c r="AU80" i="23" s="1"/>
  <c r="AU79" i="23"/>
  <c r="AU78" i="23"/>
  <c r="G92" i="15"/>
  <c r="AU73" i="23" s="1"/>
  <c r="G91" i="15"/>
  <c r="AU72" i="23" s="1"/>
  <c r="G90" i="15"/>
  <c r="AU71" i="23" s="1"/>
  <c r="G89" i="15"/>
  <c r="AU70" i="23" s="1"/>
  <c r="G88" i="15"/>
  <c r="AU69" i="23" s="1"/>
  <c r="G87" i="15"/>
  <c r="AU68" i="23" s="1"/>
  <c r="G85" i="15"/>
  <c r="AU66" i="23" s="1"/>
  <c r="G83" i="15"/>
  <c r="AU64" i="23" s="1"/>
  <c r="G82" i="15"/>
  <c r="AU63" i="23" s="1"/>
  <c r="G81" i="15"/>
  <c r="AU62" i="23" s="1"/>
  <c r="G80" i="15"/>
  <c r="AU61" i="23" s="1"/>
  <c r="G79" i="15"/>
  <c r="AU60" i="23" s="1"/>
  <c r="G78" i="15"/>
  <c r="AU59" i="23" s="1"/>
  <c r="G77" i="15"/>
  <c r="AU58" i="23" s="1"/>
  <c r="G76" i="15"/>
  <c r="AU57" i="23" s="1"/>
  <c r="G74" i="15"/>
  <c r="AU55" i="23" s="1"/>
  <c r="L72" i="15"/>
  <c r="G69" i="15"/>
  <c r="AU50" i="23" s="1"/>
  <c r="G68" i="15"/>
  <c r="AU49" i="23" s="1"/>
  <c r="G67" i="15"/>
  <c r="AU48" i="23" s="1"/>
  <c r="G66" i="15"/>
  <c r="AU47" i="23" s="1"/>
  <c r="G65" i="15"/>
  <c r="AU46" i="23" s="1"/>
  <c r="G64" i="15"/>
  <c r="AU45" i="23" s="1"/>
  <c r="G63" i="15"/>
  <c r="AU44" i="23" s="1"/>
  <c r="G62" i="15"/>
  <c r="AU43" i="23" s="1"/>
  <c r="G61" i="15"/>
  <c r="AU42" i="23" s="1"/>
  <c r="G60" i="15"/>
  <c r="AU41" i="23" s="1"/>
  <c r="G59" i="15"/>
  <c r="AU40" i="23" s="1"/>
  <c r="G58" i="15"/>
  <c r="AU39" i="23" s="1"/>
  <c r="G57" i="15"/>
  <c r="AU38" i="23" s="1"/>
  <c r="G54" i="15"/>
  <c r="AU35" i="23" s="1"/>
  <c r="G53" i="15"/>
  <c r="AU34" i="23" s="1"/>
  <c r="G52" i="15"/>
  <c r="AU33" i="23" s="1"/>
  <c r="G51" i="15"/>
  <c r="AU32" i="23" s="1"/>
  <c r="G50" i="15"/>
  <c r="AU31" i="23" s="1"/>
  <c r="G49" i="15"/>
  <c r="AU30" i="23" s="1"/>
  <c r="G48" i="15"/>
  <c r="AU29" i="23" s="1"/>
  <c r="G46" i="15"/>
  <c r="AU27" i="23" s="1"/>
  <c r="G45" i="15"/>
  <c r="AU26" i="23" s="1"/>
  <c r="G44" i="15"/>
  <c r="AU25" i="23" s="1"/>
  <c r="G43" i="15"/>
  <c r="AU24" i="23" s="1"/>
  <c r="G42" i="15"/>
  <c r="AU23" i="23" s="1"/>
  <c r="G41" i="15"/>
  <c r="AU22" i="23" s="1"/>
  <c r="G40" i="15"/>
  <c r="AU21" i="23" s="1"/>
  <c r="G39" i="15"/>
  <c r="AU20" i="23" s="1"/>
  <c r="G36" i="15"/>
  <c r="AU17" i="23" s="1"/>
  <c r="G35" i="15"/>
  <c r="AU16" i="23" s="1"/>
  <c r="G34" i="15"/>
  <c r="AU15" i="23" s="1"/>
  <c r="G33" i="15"/>
  <c r="AU14" i="23" s="1"/>
  <c r="G32" i="15"/>
  <c r="AU13" i="23" s="1"/>
  <c r="G31" i="15"/>
  <c r="AU12" i="23" s="1"/>
  <c r="G29" i="15"/>
  <c r="AU10" i="23" s="1"/>
  <c r="G28" i="15"/>
  <c r="AU9" i="23" s="1"/>
  <c r="G27" i="15"/>
  <c r="AU8" i="23" s="1"/>
  <c r="G26" i="15"/>
  <c r="AU7" i="23" s="1"/>
  <c r="G25" i="15"/>
  <c r="AU6" i="23" s="1"/>
  <c r="G24" i="15"/>
  <c r="L134" i="14"/>
  <c r="L133" i="14"/>
  <c r="L132" i="14"/>
  <c r="L131" i="14"/>
  <c r="L130" i="14"/>
  <c r="L128" i="14"/>
  <c r="L127" i="14"/>
  <c r="AS106" i="23"/>
  <c r="AS105" i="23"/>
  <c r="AS104" i="23"/>
  <c r="L122" i="14"/>
  <c r="AS100" i="23"/>
  <c r="AS99" i="23"/>
  <c r="AS86" i="23"/>
  <c r="AS85" i="23"/>
  <c r="AS84" i="23"/>
  <c r="AS83" i="23"/>
  <c r="AS81" i="23"/>
  <c r="AS80" i="23"/>
  <c r="AS79" i="23"/>
  <c r="AS78" i="23"/>
  <c r="AS73" i="23"/>
  <c r="AS72" i="23"/>
  <c r="AS71" i="23"/>
  <c r="AS70" i="23"/>
  <c r="AS69" i="23"/>
  <c r="AS68" i="23"/>
  <c r="AS66" i="23"/>
  <c r="AS64" i="23"/>
  <c r="AS63" i="23"/>
  <c r="AS62" i="23"/>
  <c r="AS61" i="23"/>
  <c r="AS60" i="23"/>
  <c r="AS59" i="23"/>
  <c r="AS58" i="23"/>
  <c r="AS57" i="23"/>
  <c r="AS55" i="23"/>
  <c r="L72" i="14"/>
  <c r="AS50" i="23"/>
  <c r="AS49" i="23"/>
  <c r="AS48" i="23"/>
  <c r="AS47" i="23"/>
  <c r="AS46" i="23"/>
  <c r="AS45" i="23"/>
  <c r="AS44" i="23"/>
  <c r="AS43" i="23"/>
  <c r="AS42" i="23"/>
  <c r="AS41" i="23"/>
  <c r="AS40" i="23"/>
  <c r="AS39" i="23"/>
  <c r="AS38" i="23"/>
  <c r="AS36" i="23"/>
  <c r="AS35" i="23"/>
  <c r="AS34" i="23"/>
  <c r="AS33" i="23"/>
  <c r="AS32" i="23"/>
  <c r="AS31" i="23"/>
  <c r="AS30" i="23"/>
  <c r="AS29" i="23"/>
  <c r="AS28" i="23"/>
  <c r="AS27" i="23"/>
  <c r="AS26" i="23"/>
  <c r="AS25" i="23"/>
  <c r="AS24" i="23"/>
  <c r="AS23" i="23"/>
  <c r="AS22" i="23"/>
  <c r="AS21" i="23"/>
  <c r="AS20" i="23"/>
  <c r="AS17" i="23"/>
  <c r="AS16" i="23"/>
  <c r="AS15" i="23"/>
  <c r="AS14" i="23"/>
  <c r="AS13" i="23"/>
  <c r="AS12" i="23"/>
  <c r="AS10" i="23"/>
  <c r="AS9" i="23"/>
  <c r="AS8" i="23"/>
  <c r="AS7" i="23"/>
  <c r="AS6" i="23"/>
  <c r="AS5" i="23"/>
  <c r="BS82" i="23"/>
  <c r="M65" i="23" s="1"/>
  <c r="BS77" i="23"/>
  <c r="M64" i="23" s="1"/>
  <c r="BS65" i="23"/>
  <c r="M61" i="23" s="1"/>
  <c r="BS54" i="23"/>
  <c r="M60" i="23" s="1"/>
  <c r="BS36" i="23"/>
  <c r="M52" i="23" s="1"/>
  <c r="BS37" i="23"/>
  <c r="BS28" i="23"/>
  <c r="M51" i="23" s="1"/>
  <c r="BS19" i="23"/>
  <c r="M50" i="23" s="1"/>
  <c r="BS3" i="23"/>
  <c r="BS4" i="23"/>
  <c r="M45" i="23" s="1"/>
  <c r="M48" i="23" s="1"/>
  <c r="M62" i="23" l="1"/>
  <c r="M57" i="23"/>
  <c r="M58" i="23" s="1"/>
  <c r="M68" i="23"/>
  <c r="O62" i="23"/>
  <c r="O68" i="23"/>
  <c r="W58" i="23"/>
  <c r="W69" i="23" s="1"/>
  <c r="W77" i="23" s="1"/>
  <c r="W79" i="23" s="1"/>
  <c r="Y69" i="23"/>
  <c r="Y77" i="23" s="1"/>
  <c r="Y79" i="23" s="1"/>
  <c r="AA69" i="23"/>
  <c r="AA77" i="23" s="1"/>
  <c r="AA79" i="23" s="1"/>
  <c r="BS75" i="23"/>
  <c r="BU18" i="23"/>
  <c r="BU28" i="23"/>
  <c r="O51" i="23" s="1"/>
  <c r="O57" i="23" s="1"/>
  <c r="O58" i="23" s="1"/>
  <c r="BU75" i="23"/>
  <c r="H22" i="15"/>
  <c r="BW11" i="23"/>
  <c r="H94" i="15"/>
  <c r="BW75" i="23" s="1"/>
  <c r="BY36" i="23"/>
  <c r="H94" i="16"/>
  <c r="BY75" i="23" s="1"/>
  <c r="BY65" i="23"/>
  <c r="BY82" i="23"/>
  <c r="BS74" i="23"/>
  <c r="AU5" i="23"/>
  <c r="G23" i="15"/>
  <c r="BU74" i="23"/>
  <c r="H93" i="15"/>
  <c r="BW74" i="23" s="1"/>
  <c r="BY4" i="23"/>
  <c r="BY37" i="23"/>
  <c r="G84" i="18"/>
  <c r="BA65" i="23" s="1"/>
  <c r="W20" i="23" s="1"/>
  <c r="CA3" i="23"/>
  <c r="H71" i="17"/>
  <c r="CA52" i="23" s="1"/>
  <c r="H70" i="17"/>
  <c r="CA51" i="23" s="1"/>
  <c r="BC82" i="23"/>
  <c r="Y24" i="23" s="1"/>
  <c r="BC56" i="23"/>
  <c r="BC67" i="23"/>
  <c r="BC37" i="23"/>
  <c r="BC36" i="23"/>
  <c r="BC28" i="23"/>
  <c r="Y10" i="23" s="1"/>
  <c r="CE3" i="23"/>
  <c r="H70" i="19"/>
  <c r="CE51" i="23" s="1"/>
  <c r="H71" i="19"/>
  <c r="CE52" i="23" s="1"/>
  <c r="G84" i="19"/>
  <c r="G86" i="16"/>
  <c r="AW67" i="23" s="1"/>
  <c r="BE82" i="23"/>
  <c r="AA24" i="23" s="1"/>
  <c r="BE56" i="23"/>
  <c r="BE67" i="23"/>
  <c r="BE11" i="23"/>
  <c r="BE37" i="23"/>
  <c r="BE28" i="23"/>
  <c r="BE36" i="23"/>
  <c r="BA19" i="23"/>
  <c r="W9" i="23" s="1"/>
  <c r="BA54" i="23"/>
  <c r="W19" i="23" s="1"/>
  <c r="BA4" i="23"/>
  <c r="W4" i="23" s="1"/>
  <c r="W7" i="23" s="1"/>
  <c r="L86" i="18"/>
  <c r="L84" i="18"/>
  <c r="BE77" i="23"/>
  <c r="BE19" i="23"/>
  <c r="BE4" i="23"/>
  <c r="BC4" i="23"/>
  <c r="Y4" i="23" s="1"/>
  <c r="Y7" i="23" s="1"/>
  <c r="BC77" i="23"/>
  <c r="Y23" i="23" s="1"/>
  <c r="BC19" i="23"/>
  <c r="Y9" i="23" s="1"/>
  <c r="AY17" i="23"/>
  <c r="U6" i="23" s="1"/>
  <c r="AY16" i="23"/>
  <c r="U5" i="23" s="1"/>
  <c r="G75" i="17"/>
  <c r="AY56" i="23" s="1"/>
  <c r="G86" i="17"/>
  <c r="AY67" i="23" s="1"/>
  <c r="G30" i="16"/>
  <c r="AW11" i="23" s="1"/>
  <c r="M31" i="16"/>
  <c r="M32" i="16"/>
  <c r="M33" i="16"/>
  <c r="G56" i="15"/>
  <c r="AU37" i="23" s="1"/>
  <c r="AS87" i="23"/>
  <c r="O25" i="23" s="1"/>
  <c r="AS88" i="23"/>
  <c r="O26" i="23" s="1"/>
  <c r="AS91" i="23"/>
  <c r="O30" i="23" s="1"/>
  <c r="AS92" i="23"/>
  <c r="O31" i="23" s="1"/>
  <c r="AS93" i="23"/>
  <c r="O32" i="23" s="1"/>
  <c r="AS94" i="23"/>
  <c r="O33" i="23" s="1"/>
  <c r="AS95" i="23"/>
  <c r="O34" i="23" s="1"/>
  <c r="AS96" i="23"/>
  <c r="O35" i="23" s="1"/>
  <c r="AS82" i="23"/>
  <c r="O24" i="23" s="1"/>
  <c r="L102" i="14"/>
  <c r="L103" i="14"/>
  <c r="L104" i="14"/>
  <c r="L105" i="14"/>
  <c r="L106" i="14"/>
  <c r="L107" i="14"/>
  <c r="L110" i="14"/>
  <c r="L111" i="14"/>
  <c r="L112" i="14"/>
  <c r="L113" i="14"/>
  <c r="L114" i="14"/>
  <c r="L115" i="14"/>
  <c r="L118" i="14"/>
  <c r="AA10" i="23"/>
  <c r="L56" i="18"/>
  <c r="L55" i="18"/>
  <c r="W11" i="23"/>
  <c r="L75" i="18"/>
  <c r="L96" i="18"/>
  <c r="W23" i="23"/>
  <c r="L101" i="18"/>
  <c r="W24" i="23"/>
  <c r="L47" i="18"/>
  <c r="W10" i="23"/>
  <c r="L30" i="18"/>
  <c r="L25" i="17"/>
  <c r="L27" i="17"/>
  <c r="L29" i="17"/>
  <c r="L39" i="17"/>
  <c r="L41" i="17"/>
  <c r="L43" i="17"/>
  <c r="L45" i="17"/>
  <c r="L50" i="17"/>
  <c r="L52" i="17"/>
  <c r="L54" i="17"/>
  <c r="L58" i="17"/>
  <c r="L60" i="17"/>
  <c r="L62" i="17"/>
  <c r="L64" i="17"/>
  <c r="L66" i="17"/>
  <c r="L68" i="17"/>
  <c r="U14" i="23"/>
  <c r="L77" i="17"/>
  <c r="L79" i="17"/>
  <c r="L81" i="17"/>
  <c r="L83" i="17"/>
  <c r="L86" i="17"/>
  <c r="L88" i="17"/>
  <c r="L90" i="17"/>
  <c r="L92" i="17"/>
  <c r="L97" i="17"/>
  <c r="L99" i="17"/>
  <c r="L104" i="17"/>
  <c r="L106" i="17"/>
  <c r="U25" i="23"/>
  <c r="L110" i="17"/>
  <c r="U30" i="23"/>
  <c r="L112" i="17"/>
  <c r="U32" i="23"/>
  <c r="L114" i="17"/>
  <c r="U34" i="23"/>
  <c r="L118" i="17"/>
  <c r="L124" i="17"/>
  <c r="L26" i="17"/>
  <c r="L28" i="17"/>
  <c r="G30" i="17"/>
  <c r="AY11" i="23" s="1"/>
  <c r="L31" i="17"/>
  <c r="L32" i="17"/>
  <c r="L33" i="17"/>
  <c r="L34" i="17"/>
  <c r="L35" i="17"/>
  <c r="L36" i="17"/>
  <c r="L40" i="17"/>
  <c r="L42" i="17"/>
  <c r="L44" i="17"/>
  <c r="L46" i="17"/>
  <c r="L49" i="17"/>
  <c r="L51" i="17"/>
  <c r="L53" i="17"/>
  <c r="L59" i="17"/>
  <c r="L61" i="17"/>
  <c r="L63" i="17"/>
  <c r="L65" i="17"/>
  <c r="U12" i="23"/>
  <c r="L67" i="17"/>
  <c r="U13" i="23"/>
  <c r="L69" i="17"/>
  <c r="U15" i="23"/>
  <c r="L76" i="17"/>
  <c r="L78" i="17"/>
  <c r="L80" i="17"/>
  <c r="L82" i="17"/>
  <c r="L85" i="17"/>
  <c r="L87" i="17"/>
  <c r="L89" i="17"/>
  <c r="L91" i="17"/>
  <c r="G96" i="17"/>
  <c r="L98" i="17"/>
  <c r="L100" i="17"/>
  <c r="L103" i="17"/>
  <c r="L105" i="17"/>
  <c r="L107" i="17"/>
  <c r="U26" i="23"/>
  <c r="L111" i="17"/>
  <c r="U31" i="23"/>
  <c r="L113" i="17"/>
  <c r="U33" i="23"/>
  <c r="L115" i="17"/>
  <c r="U35" i="23"/>
  <c r="L119" i="17"/>
  <c r="L123" i="17"/>
  <c r="L125" i="17"/>
  <c r="M24" i="16"/>
  <c r="M26" i="16"/>
  <c r="M28" i="16"/>
  <c r="M30" i="16"/>
  <c r="M35" i="16"/>
  <c r="S5" i="23"/>
  <c r="M39" i="16"/>
  <c r="M41" i="16"/>
  <c r="M43" i="16"/>
  <c r="M45" i="16"/>
  <c r="M48" i="16"/>
  <c r="M50" i="16"/>
  <c r="M52" i="16"/>
  <c r="M54" i="16"/>
  <c r="M60" i="16"/>
  <c r="M62" i="16"/>
  <c r="M64" i="16"/>
  <c r="M66" i="16"/>
  <c r="M68" i="16"/>
  <c r="S14" i="23"/>
  <c r="M74" i="16"/>
  <c r="M76" i="16"/>
  <c r="M78" i="16"/>
  <c r="M80" i="16"/>
  <c r="M82" i="16"/>
  <c r="M90" i="16"/>
  <c r="M92" i="16"/>
  <c r="M98" i="16"/>
  <c r="M100" i="16"/>
  <c r="M102" i="16"/>
  <c r="M104" i="16"/>
  <c r="M106" i="16"/>
  <c r="S25" i="23"/>
  <c r="M110" i="16"/>
  <c r="S30" i="23"/>
  <c r="M112" i="16"/>
  <c r="S32" i="23"/>
  <c r="M114" i="16"/>
  <c r="S34" i="23"/>
  <c r="M118" i="16"/>
  <c r="M124" i="16"/>
  <c r="M25" i="16"/>
  <c r="M27" i="16"/>
  <c r="M29" i="16"/>
  <c r="M34" i="16"/>
  <c r="M36" i="16"/>
  <c r="S6" i="23"/>
  <c r="M40" i="16"/>
  <c r="M42" i="16"/>
  <c r="M44" i="16"/>
  <c r="M46" i="16"/>
  <c r="M49" i="16"/>
  <c r="M51" i="16"/>
  <c r="M53" i="16"/>
  <c r="G56" i="16"/>
  <c r="AW37" i="23" s="1"/>
  <c r="M57" i="16"/>
  <c r="M58" i="16"/>
  <c r="M59" i="16"/>
  <c r="M61" i="16"/>
  <c r="M63" i="16"/>
  <c r="M65" i="16"/>
  <c r="S12" i="23"/>
  <c r="M67" i="16"/>
  <c r="S13" i="23"/>
  <c r="M69" i="16"/>
  <c r="S15" i="23"/>
  <c r="G75" i="16"/>
  <c r="AW56" i="23" s="1"/>
  <c r="M77" i="16"/>
  <c r="M79" i="16"/>
  <c r="M81" i="16"/>
  <c r="M83" i="16"/>
  <c r="M85" i="16"/>
  <c r="M87" i="16"/>
  <c r="M88" i="16"/>
  <c r="M89" i="16"/>
  <c r="M91" i="16"/>
  <c r="M97" i="16"/>
  <c r="M99" i="16"/>
  <c r="G101" i="16"/>
  <c r="AW82" i="23" s="1"/>
  <c r="M103" i="16"/>
  <c r="M105" i="16"/>
  <c r="M107" i="16"/>
  <c r="S26" i="23"/>
  <c r="M111" i="16"/>
  <c r="S31" i="23"/>
  <c r="M113" i="16"/>
  <c r="S33" i="23"/>
  <c r="M115" i="16"/>
  <c r="S35" i="23"/>
  <c r="M119" i="16"/>
  <c r="M123" i="16"/>
  <c r="M125" i="16"/>
  <c r="L26" i="15"/>
  <c r="L28" i="15"/>
  <c r="L31" i="15"/>
  <c r="L33" i="15"/>
  <c r="L35" i="15"/>
  <c r="Q5" i="23"/>
  <c r="L41" i="15"/>
  <c r="L43" i="15"/>
  <c r="L45" i="15"/>
  <c r="L48" i="15"/>
  <c r="L50" i="15"/>
  <c r="L52" i="15"/>
  <c r="L54" i="15"/>
  <c r="L57" i="15"/>
  <c r="L59" i="15"/>
  <c r="L61" i="15"/>
  <c r="L63" i="15"/>
  <c r="L65" i="15"/>
  <c r="Q12" i="23"/>
  <c r="L67" i="15"/>
  <c r="Q13" i="23"/>
  <c r="L69" i="15"/>
  <c r="Q15" i="23"/>
  <c r="L74" i="15"/>
  <c r="L76" i="15"/>
  <c r="L78" i="15"/>
  <c r="L80" i="15"/>
  <c r="L82" i="15"/>
  <c r="L85" i="15"/>
  <c r="L88" i="15"/>
  <c r="L90" i="15"/>
  <c r="L92" i="15"/>
  <c r="L98" i="15"/>
  <c r="L100" i="15"/>
  <c r="L103" i="15"/>
  <c r="L105" i="15"/>
  <c r="L107" i="15"/>
  <c r="Q26" i="23"/>
  <c r="L111" i="15"/>
  <c r="Q31" i="23"/>
  <c r="L113" i="15"/>
  <c r="Q33" i="23"/>
  <c r="L115" i="15"/>
  <c r="Q35" i="23"/>
  <c r="L119" i="15"/>
  <c r="L123" i="15"/>
  <c r="L125" i="15"/>
  <c r="L25" i="15"/>
  <c r="L27" i="15"/>
  <c r="L29" i="15"/>
  <c r="L32" i="15"/>
  <c r="L34" i="15"/>
  <c r="L36" i="15"/>
  <c r="Q6" i="23"/>
  <c r="L40" i="15"/>
  <c r="L42" i="15"/>
  <c r="L44" i="15"/>
  <c r="L46" i="15"/>
  <c r="L49" i="15"/>
  <c r="L51" i="15"/>
  <c r="L53" i="15"/>
  <c r="L56" i="15"/>
  <c r="L58" i="15"/>
  <c r="L60" i="15"/>
  <c r="L62" i="15"/>
  <c r="L64" i="15"/>
  <c r="L66" i="15"/>
  <c r="L68" i="15"/>
  <c r="Q14" i="23"/>
  <c r="G75" i="15"/>
  <c r="AU56" i="23" s="1"/>
  <c r="L77" i="15"/>
  <c r="L79" i="15"/>
  <c r="L81" i="15"/>
  <c r="L83" i="15"/>
  <c r="L87" i="15"/>
  <c r="L89" i="15"/>
  <c r="L91" i="15"/>
  <c r="L97" i="15"/>
  <c r="L99" i="15"/>
  <c r="L102" i="15"/>
  <c r="L104" i="15"/>
  <c r="L106" i="15"/>
  <c r="Q25" i="23"/>
  <c r="L110" i="15"/>
  <c r="Q30" i="23"/>
  <c r="L112" i="15"/>
  <c r="Q32" i="23"/>
  <c r="L114" i="15"/>
  <c r="Q34" i="23"/>
  <c r="L118" i="15"/>
  <c r="L124" i="15"/>
  <c r="L26" i="14"/>
  <c r="L28" i="14"/>
  <c r="L31" i="14"/>
  <c r="L33" i="14"/>
  <c r="L35" i="14"/>
  <c r="O5" i="23"/>
  <c r="L41" i="14"/>
  <c r="L43" i="14"/>
  <c r="L45" i="14"/>
  <c r="L47" i="14"/>
  <c r="O10" i="23"/>
  <c r="L49" i="14"/>
  <c r="L51" i="14"/>
  <c r="L53" i="14"/>
  <c r="L55" i="14"/>
  <c r="L58" i="14"/>
  <c r="L60" i="14"/>
  <c r="L62" i="14"/>
  <c r="L64" i="14"/>
  <c r="L66" i="14"/>
  <c r="L68" i="14"/>
  <c r="O14" i="23"/>
  <c r="L74" i="14"/>
  <c r="L83" i="14"/>
  <c r="L87" i="14"/>
  <c r="L89" i="14"/>
  <c r="L91" i="14"/>
  <c r="L97" i="14"/>
  <c r="L99" i="14"/>
  <c r="L101" i="14"/>
  <c r="L124" i="14"/>
  <c r="L25" i="14"/>
  <c r="L27" i="14"/>
  <c r="L29" i="14"/>
  <c r="L32" i="14"/>
  <c r="L34" i="14"/>
  <c r="L36" i="14"/>
  <c r="O6" i="23"/>
  <c r="L40" i="14"/>
  <c r="L42" i="14"/>
  <c r="L44" i="14"/>
  <c r="L46" i="14"/>
  <c r="L48" i="14"/>
  <c r="L50" i="14"/>
  <c r="L52" i="14"/>
  <c r="L54" i="14"/>
  <c r="L57" i="14"/>
  <c r="L59" i="14"/>
  <c r="L61" i="14"/>
  <c r="L63" i="14"/>
  <c r="L65" i="14"/>
  <c r="O12" i="23"/>
  <c r="L67" i="14"/>
  <c r="O13" i="23"/>
  <c r="L69" i="14"/>
  <c r="O15" i="23"/>
  <c r="AS56" i="23"/>
  <c r="L76" i="14"/>
  <c r="L77" i="14"/>
  <c r="L78" i="14"/>
  <c r="L79" i="14"/>
  <c r="L80" i="14"/>
  <c r="L81" i="14"/>
  <c r="L82" i="14"/>
  <c r="L85" i="14"/>
  <c r="L88" i="14"/>
  <c r="L90" i="14"/>
  <c r="L92" i="14"/>
  <c r="L98" i="14"/>
  <c r="L100" i="14"/>
  <c r="L119" i="14"/>
  <c r="L123" i="14"/>
  <c r="L125" i="14"/>
  <c r="H108" i="17"/>
  <c r="CA89" i="23" s="1"/>
  <c r="H95" i="15"/>
  <c r="BU76" i="23"/>
  <c r="H108" i="19"/>
  <c r="CE89" i="23" s="1"/>
  <c r="H93" i="16"/>
  <c r="H37" i="16"/>
  <c r="H22" i="16"/>
  <c r="BY3" i="23" s="1"/>
  <c r="CG51" i="23"/>
  <c r="CG52" i="23"/>
  <c r="CC90" i="23"/>
  <c r="G73" i="19"/>
  <c r="M73" i="19" s="1"/>
  <c r="G37" i="19"/>
  <c r="M37" i="19" s="1"/>
  <c r="G95" i="19"/>
  <c r="M95" i="19" s="1"/>
  <c r="G22" i="19"/>
  <c r="M22" i="19" s="1"/>
  <c r="CC89" i="23"/>
  <c r="G93" i="18"/>
  <c r="BA74" i="23" s="1"/>
  <c r="L73" i="18"/>
  <c r="G94" i="18"/>
  <c r="BA75" i="23" s="1"/>
  <c r="G37" i="18"/>
  <c r="BA18" i="23" s="1"/>
  <c r="G95" i="18"/>
  <c r="BA76" i="23" s="1"/>
  <c r="L23" i="18"/>
  <c r="G22" i="18"/>
  <c r="BA3" i="23" s="1"/>
  <c r="G38" i="17"/>
  <c r="G84" i="17"/>
  <c r="AY65" i="23" s="1"/>
  <c r="L24" i="17"/>
  <c r="G23" i="17"/>
  <c r="L38" i="17"/>
  <c r="L48" i="17"/>
  <c r="G47" i="17"/>
  <c r="AY28" i="23" s="1"/>
  <c r="L96" i="17"/>
  <c r="L102" i="17"/>
  <c r="G101" i="17"/>
  <c r="AY82" i="23" s="1"/>
  <c r="G55" i="17"/>
  <c r="AY36" i="23" s="1"/>
  <c r="L57" i="17"/>
  <c r="G56" i="17"/>
  <c r="AY37" i="23" s="1"/>
  <c r="L74" i="17"/>
  <c r="G23" i="16"/>
  <c r="G55" i="16"/>
  <c r="AW36" i="23" s="1"/>
  <c r="G96" i="16"/>
  <c r="H95" i="16"/>
  <c r="BY76" i="23" s="1"/>
  <c r="G38" i="16"/>
  <c r="G47" i="16"/>
  <c r="AW28" i="23" s="1"/>
  <c r="G47" i="15"/>
  <c r="AU28" i="23" s="1"/>
  <c r="G55" i="15"/>
  <c r="AU36" i="23" s="1"/>
  <c r="G73" i="15"/>
  <c r="G101" i="15"/>
  <c r="AU82" i="23" s="1"/>
  <c r="H37" i="15"/>
  <c r="BW18" i="23" s="1"/>
  <c r="G86" i="15"/>
  <c r="AU67" i="23" s="1"/>
  <c r="AS11" i="23"/>
  <c r="AS37" i="23"/>
  <c r="AS67" i="23"/>
  <c r="G30" i="15"/>
  <c r="AU11" i="23" s="1"/>
  <c r="L24" i="15"/>
  <c r="L39" i="15"/>
  <c r="G38" i="15"/>
  <c r="L73" i="15"/>
  <c r="G96" i="15"/>
  <c r="L24" i="14"/>
  <c r="L39" i="14"/>
  <c r="AS65" i="23"/>
  <c r="BS18" i="23"/>
  <c r="L134" i="13"/>
  <c r="L133" i="13"/>
  <c r="L132" i="13"/>
  <c r="L131" i="13"/>
  <c r="L130" i="13"/>
  <c r="L128" i="13"/>
  <c r="L127" i="13"/>
  <c r="AQ106" i="23"/>
  <c r="AQ105" i="23"/>
  <c r="AQ104" i="23"/>
  <c r="L122" i="13"/>
  <c r="AQ100" i="23"/>
  <c r="AQ99" i="23"/>
  <c r="AQ96" i="23"/>
  <c r="AQ95" i="23"/>
  <c r="AQ94" i="23"/>
  <c r="AQ93" i="23"/>
  <c r="AQ92" i="23"/>
  <c r="AQ91" i="23"/>
  <c r="AQ88" i="23"/>
  <c r="AQ87" i="23"/>
  <c r="AQ86" i="23"/>
  <c r="AQ85" i="23"/>
  <c r="AQ84" i="23"/>
  <c r="AQ83" i="23"/>
  <c r="AQ81" i="23"/>
  <c r="AQ80" i="23"/>
  <c r="AQ79" i="23"/>
  <c r="AQ78" i="23"/>
  <c r="AQ73" i="23"/>
  <c r="AQ72" i="23"/>
  <c r="AQ71" i="23"/>
  <c r="AQ70" i="23"/>
  <c r="AQ69" i="23"/>
  <c r="AQ68" i="23"/>
  <c r="AQ66" i="23"/>
  <c r="AQ64" i="23"/>
  <c r="AQ63" i="23"/>
  <c r="AQ62" i="23"/>
  <c r="AQ61" i="23"/>
  <c r="AQ60" i="23"/>
  <c r="AQ59" i="23"/>
  <c r="AQ58" i="23"/>
  <c r="AQ57" i="23"/>
  <c r="AQ55" i="23"/>
  <c r="L72" i="13"/>
  <c r="AQ50" i="23"/>
  <c r="AQ49" i="23"/>
  <c r="AQ48" i="23"/>
  <c r="AQ47" i="23"/>
  <c r="AQ46" i="23"/>
  <c r="AQ45" i="23"/>
  <c r="AQ44" i="23"/>
  <c r="AQ43" i="23"/>
  <c r="AQ42" i="23"/>
  <c r="AQ41" i="23"/>
  <c r="AQ40" i="23"/>
  <c r="AQ39" i="23"/>
  <c r="AQ38" i="23"/>
  <c r="AQ35" i="23"/>
  <c r="AQ34" i="23"/>
  <c r="AQ33" i="23"/>
  <c r="AQ32" i="23"/>
  <c r="AQ31" i="23"/>
  <c r="AQ30" i="23"/>
  <c r="AQ29" i="23"/>
  <c r="AQ27" i="23"/>
  <c r="AQ26" i="23"/>
  <c r="AQ25" i="23"/>
  <c r="AQ24" i="23"/>
  <c r="AQ23" i="23"/>
  <c r="AQ22" i="23"/>
  <c r="AQ21" i="23"/>
  <c r="AQ20" i="23"/>
  <c r="AQ17" i="23"/>
  <c r="AQ16" i="23"/>
  <c r="AQ15" i="23"/>
  <c r="AQ14" i="23"/>
  <c r="AQ13" i="23"/>
  <c r="AQ12" i="23"/>
  <c r="AQ10" i="23"/>
  <c r="AQ9" i="23"/>
  <c r="AQ8" i="23"/>
  <c r="AQ7" i="23"/>
  <c r="AQ6" i="23"/>
  <c r="AQ5" i="23"/>
  <c r="H101" i="12"/>
  <c r="BQ82" i="23" s="1"/>
  <c r="H96" i="12"/>
  <c r="BQ77" i="23" s="1"/>
  <c r="H84" i="12"/>
  <c r="BQ65" i="23" s="1"/>
  <c r="H73" i="12"/>
  <c r="H55" i="12"/>
  <c r="BQ36" i="23" s="1"/>
  <c r="H56" i="12"/>
  <c r="BQ37" i="23" s="1"/>
  <c r="H47" i="12"/>
  <c r="BQ28" i="23" s="1"/>
  <c r="H38" i="12"/>
  <c r="H30" i="12"/>
  <c r="H23" i="12"/>
  <c r="BQ4" i="23" s="1"/>
  <c r="L134" i="12"/>
  <c r="L133" i="12"/>
  <c r="L132" i="12"/>
  <c r="L131" i="12"/>
  <c r="L130" i="12"/>
  <c r="L128" i="12"/>
  <c r="L127" i="12"/>
  <c r="L122" i="12"/>
  <c r="L72" i="12"/>
  <c r="M69" i="23" l="1"/>
  <c r="M77" i="23" s="1"/>
  <c r="M79" i="23" s="1"/>
  <c r="O69" i="23"/>
  <c r="O77" i="23" s="1"/>
  <c r="O79" i="23" s="1"/>
  <c r="BC65" i="23"/>
  <c r="Y20" i="23" s="1"/>
  <c r="M84" i="19"/>
  <c r="W21" i="23"/>
  <c r="Y11" i="23"/>
  <c r="Y16" i="23" s="1"/>
  <c r="Y17" i="23" s="1"/>
  <c r="BQ11" i="23"/>
  <c r="J30" i="16"/>
  <c r="H94" i="12"/>
  <c r="BU3" i="23"/>
  <c r="BU52" i="23"/>
  <c r="BU51" i="23"/>
  <c r="J47" i="16"/>
  <c r="BY74" i="23"/>
  <c r="BS76" i="23"/>
  <c r="BW76" i="23"/>
  <c r="BW3" i="23"/>
  <c r="H71" i="15"/>
  <c r="BW52" i="23" s="1"/>
  <c r="H70" i="15"/>
  <c r="BW51" i="23" s="1"/>
  <c r="H37" i="12"/>
  <c r="BQ18" i="23" s="1"/>
  <c r="BQ19" i="23"/>
  <c r="J38" i="16"/>
  <c r="BQ54" i="23"/>
  <c r="J73" i="16"/>
  <c r="H93" i="12"/>
  <c r="BQ74" i="23" s="1"/>
  <c r="G37" i="15"/>
  <c r="J37" i="16"/>
  <c r="BY18" i="23"/>
  <c r="J84" i="16"/>
  <c r="H109" i="19"/>
  <c r="CE90" i="23" s="1"/>
  <c r="H109" i="17"/>
  <c r="CA90" i="23" s="1"/>
  <c r="J56" i="16"/>
  <c r="J23" i="16"/>
  <c r="BS52" i="23"/>
  <c r="J101" i="16"/>
  <c r="J55" i="16"/>
  <c r="BC3" i="23"/>
  <c r="BC76" i="23"/>
  <c r="BC54" i="23"/>
  <c r="Y19" i="23" s="1"/>
  <c r="Y21" i="23" s="1"/>
  <c r="BC18" i="23"/>
  <c r="G84" i="16"/>
  <c r="AW65" i="23" s="1"/>
  <c r="M86" i="16"/>
  <c r="L73" i="14"/>
  <c r="AO104" i="23"/>
  <c r="AO106" i="23"/>
  <c r="BI106" i="23" s="1"/>
  <c r="I125" i="19" s="1"/>
  <c r="AO105" i="23"/>
  <c r="AO57" i="23"/>
  <c r="BI57" i="23" s="1"/>
  <c r="I76" i="19" s="1"/>
  <c r="AO59" i="23"/>
  <c r="AO61" i="23"/>
  <c r="BI61" i="23" s="1"/>
  <c r="I80" i="19" s="1"/>
  <c r="AO63" i="23"/>
  <c r="AO66" i="23"/>
  <c r="BI66" i="23" s="1"/>
  <c r="I85" i="19" s="1"/>
  <c r="AO69" i="23"/>
  <c r="AO71" i="23"/>
  <c r="BI71" i="23" s="1"/>
  <c r="I90" i="19" s="1"/>
  <c r="AO73" i="23"/>
  <c r="AO78" i="23"/>
  <c r="BI78" i="23" s="1"/>
  <c r="I97" i="19" s="1"/>
  <c r="AO80" i="23"/>
  <c r="AO83" i="23"/>
  <c r="BI83" i="23" s="1"/>
  <c r="I102" i="19" s="1"/>
  <c r="AO85" i="23"/>
  <c r="AO87" i="23"/>
  <c r="K25" i="23" s="1"/>
  <c r="AO91" i="23"/>
  <c r="BI91" i="23" s="1"/>
  <c r="I110" i="19" s="1"/>
  <c r="AO93" i="23"/>
  <c r="BI93" i="23" s="1"/>
  <c r="I112" i="19" s="1"/>
  <c r="AO95" i="23"/>
  <c r="K34" i="23" s="1"/>
  <c r="AO99" i="23"/>
  <c r="BI99" i="23" s="1"/>
  <c r="I118" i="19" s="1"/>
  <c r="AO55" i="23"/>
  <c r="BI55" i="23" s="1"/>
  <c r="I74" i="19" s="1"/>
  <c r="AO58" i="23"/>
  <c r="AO60" i="23"/>
  <c r="BI60" i="23" s="1"/>
  <c r="I79" i="19" s="1"/>
  <c r="AO62" i="23"/>
  <c r="AO64" i="23"/>
  <c r="BI64" i="23" s="1"/>
  <c r="I83" i="19" s="1"/>
  <c r="AO68" i="23"/>
  <c r="AO70" i="23"/>
  <c r="BI70" i="23" s="1"/>
  <c r="I89" i="19" s="1"/>
  <c r="AO72" i="23"/>
  <c r="AO79" i="23"/>
  <c r="BI79" i="23" s="1"/>
  <c r="I98" i="19" s="1"/>
  <c r="AO81" i="23"/>
  <c r="BI81" i="23" s="1"/>
  <c r="I100" i="19" s="1"/>
  <c r="AO84" i="23"/>
  <c r="AO86" i="23"/>
  <c r="BI86" i="23" s="1"/>
  <c r="I105" i="19" s="1"/>
  <c r="AO88" i="23"/>
  <c r="BI88" i="23" s="1"/>
  <c r="I107" i="19" s="1"/>
  <c r="AO92" i="23"/>
  <c r="BI92" i="23" s="1"/>
  <c r="I111" i="19" s="1"/>
  <c r="AO94" i="23"/>
  <c r="AO96" i="23"/>
  <c r="BI96" i="23" s="1"/>
  <c r="I115" i="19" s="1"/>
  <c r="AO100" i="23"/>
  <c r="BI100" i="23" s="1"/>
  <c r="I119" i="19" s="1"/>
  <c r="AO5" i="23"/>
  <c r="AO7" i="23"/>
  <c r="BI7" i="23" s="1"/>
  <c r="I26" i="19" s="1"/>
  <c r="AO9" i="23"/>
  <c r="AO12" i="23"/>
  <c r="BI12" i="23" s="1"/>
  <c r="I31" i="19" s="1"/>
  <c r="AO14" i="23"/>
  <c r="AO20" i="23"/>
  <c r="BI20" i="23" s="1"/>
  <c r="I39" i="19" s="1"/>
  <c r="AO22" i="23"/>
  <c r="AO24" i="23"/>
  <c r="BI24" i="23" s="1"/>
  <c r="I43" i="19" s="1"/>
  <c r="AO26" i="23"/>
  <c r="AO29" i="23"/>
  <c r="BI29" i="23" s="1"/>
  <c r="I48" i="19" s="1"/>
  <c r="AO31" i="23"/>
  <c r="AO33" i="23"/>
  <c r="BI33" i="23" s="1"/>
  <c r="I52" i="19" s="1"/>
  <c r="AO35" i="23"/>
  <c r="AO39" i="23"/>
  <c r="BI39" i="23" s="1"/>
  <c r="I58" i="19" s="1"/>
  <c r="AO41" i="23"/>
  <c r="AO43" i="23"/>
  <c r="BI43" i="23" s="1"/>
  <c r="I62" i="19" s="1"/>
  <c r="AO45" i="23"/>
  <c r="AO47" i="23"/>
  <c r="BI47" i="23" s="1"/>
  <c r="I66" i="19" s="1"/>
  <c r="AO49" i="23"/>
  <c r="AO6" i="23"/>
  <c r="AO8" i="23"/>
  <c r="BI8" i="23" s="1"/>
  <c r="I27" i="19" s="1"/>
  <c r="AO10" i="23"/>
  <c r="AO13" i="23"/>
  <c r="BI13" i="23" s="1"/>
  <c r="I32" i="19" s="1"/>
  <c r="AO15" i="23"/>
  <c r="AO21" i="23"/>
  <c r="BI21" i="23" s="1"/>
  <c r="I40" i="19" s="1"/>
  <c r="AO23" i="23"/>
  <c r="AO25" i="23"/>
  <c r="BI25" i="23" s="1"/>
  <c r="I44" i="19" s="1"/>
  <c r="AO27" i="23"/>
  <c r="AO30" i="23"/>
  <c r="BI30" i="23" s="1"/>
  <c r="I49" i="19" s="1"/>
  <c r="AO32" i="23"/>
  <c r="AO34" i="23"/>
  <c r="BI34" i="23" s="1"/>
  <c r="I53" i="19" s="1"/>
  <c r="AO38" i="23"/>
  <c r="AO40" i="23"/>
  <c r="BI40" i="23" s="1"/>
  <c r="I59" i="19" s="1"/>
  <c r="AO42" i="23"/>
  <c r="AO44" i="23"/>
  <c r="BI44" i="23" s="1"/>
  <c r="I63" i="19" s="1"/>
  <c r="AO46" i="23"/>
  <c r="AO48" i="23"/>
  <c r="BI48" i="23" s="1"/>
  <c r="I67" i="19" s="1"/>
  <c r="AO50" i="23"/>
  <c r="BE65" i="23"/>
  <c r="AA20" i="23" s="1"/>
  <c r="BE76" i="23"/>
  <c r="BE54" i="23"/>
  <c r="BE3" i="23"/>
  <c r="BE18" i="23"/>
  <c r="BI6" i="23"/>
  <c r="I25" i="19" s="1"/>
  <c r="BI10" i="23"/>
  <c r="I29" i="19" s="1"/>
  <c r="BI15" i="23"/>
  <c r="I34" i="19" s="1"/>
  <c r="BI22" i="23"/>
  <c r="I41" i="19" s="1"/>
  <c r="BI26" i="23"/>
  <c r="I45" i="19" s="1"/>
  <c r="BI31" i="23"/>
  <c r="I50" i="19" s="1"/>
  <c r="BI35" i="23"/>
  <c r="I54" i="19" s="1"/>
  <c r="BI41" i="23"/>
  <c r="I60" i="19" s="1"/>
  <c r="BI45" i="23"/>
  <c r="I64" i="19" s="1"/>
  <c r="BI49" i="23"/>
  <c r="I68" i="19" s="1"/>
  <c r="BI59" i="23"/>
  <c r="I78" i="19" s="1"/>
  <c r="BI63" i="23"/>
  <c r="I82" i="19" s="1"/>
  <c r="BI69" i="23"/>
  <c r="I88" i="19" s="1"/>
  <c r="BI73" i="23"/>
  <c r="I92" i="19" s="1"/>
  <c r="BI84" i="23"/>
  <c r="I103" i="19" s="1"/>
  <c r="BI104" i="23"/>
  <c r="I123" i="19" s="1"/>
  <c r="BI5" i="23"/>
  <c r="I24" i="19" s="1"/>
  <c r="BI9" i="23"/>
  <c r="I28" i="19" s="1"/>
  <c r="BI14" i="23"/>
  <c r="I33" i="19" s="1"/>
  <c r="BI23" i="23"/>
  <c r="I42" i="19" s="1"/>
  <c r="BI27" i="23"/>
  <c r="I46" i="19" s="1"/>
  <c r="BI32" i="23"/>
  <c r="I51" i="19" s="1"/>
  <c r="BI38" i="23"/>
  <c r="I57" i="19" s="1"/>
  <c r="BI42" i="23"/>
  <c r="I61" i="19" s="1"/>
  <c r="BI46" i="23"/>
  <c r="I65" i="19" s="1"/>
  <c r="BI50" i="23"/>
  <c r="I69" i="19" s="1"/>
  <c r="BI58" i="23"/>
  <c r="I77" i="19" s="1"/>
  <c r="BI62" i="23"/>
  <c r="I81" i="19" s="1"/>
  <c r="BI68" i="23"/>
  <c r="I87" i="19" s="1"/>
  <c r="BI72" i="23"/>
  <c r="I91" i="19" s="1"/>
  <c r="BI80" i="23"/>
  <c r="I99" i="19" s="1"/>
  <c r="BI85" i="23"/>
  <c r="I104" i="19" s="1"/>
  <c r="BI105" i="23"/>
  <c r="I124" i="19" s="1"/>
  <c r="AA9" i="23"/>
  <c r="BI95" i="23"/>
  <c r="I114" i="19" s="1"/>
  <c r="BI94" i="23"/>
  <c r="I113" i="19" s="1"/>
  <c r="AA4" i="23"/>
  <c r="AA7" i="23" s="1"/>
  <c r="AA23" i="23"/>
  <c r="AA27" i="23" s="1"/>
  <c r="BI87" i="23"/>
  <c r="I106" i="19" s="1"/>
  <c r="Y27" i="23"/>
  <c r="AY4" i="23"/>
  <c r="U4" i="23" s="1"/>
  <c r="U7" i="23" s="1"/>
  <c r="AY77" i="23"/>
  <c r="U23" i="23" s="1"/>
  <c r="G73" i="17"/>
  <c r="L73" i="17" s="1"/>
  <c r="AY19" i="23"/>
  <c r="U9" i="23" s="1"/>
  <c r="L75" i="17"/>
  <c r="AW19" i="23"/>
  <c r="S9" i="23" s="1"/>
  <c r="AW77" i="23"/>
  <c r="S23" i="23" s="1"/>
  <c r="AW4" i="23"/>
  <c r="S4" i="23" s="1"/>
  <c r="S7" i="23" s="1"/>
  <c r="G73" i="16"/>
  <c r="AU77" i="23"/>
  <c r="Q23" i="23" s="1"/>
  <c r="AU19" i="23"/>
  <c r="Q9" i="23" s="1"/>
  <c r="AU4" i="23"/>
  <c r="Q4" i="23" s="1"/>
  <c r="Q7" i="23" s="1"/>
  <c r="AU54" i="23"/>
  <c r="Q19" i="23" s="1"/>
  <c r="AS77" i="23"/>
  <c r="O23" i="23" s="1"/>
  <c r="O27" i="23" s="1"/>
  <c r="AS54" i="23"/>
  <c r="O19" i="23" s="1"/>
  <c r="AS19" i="23"/>
  <c r="O9" i="23" s="1"/>
  <c r="AS4" i="23"/>
  <c r="O4" i="23" s="1"/>
  <c r="O7" i="23" s="1"/>
  <c r="AQ19" i="23"/>
  <c r="M9" i="23" s="1"/>
  <c r="AO16" i="23"/>
  <c r="K5" i="23" s="1"/>
  <c r="AO17" i="23"/>
  <c r="K6" i="23" s="1"/>
  <c r="L31" i="12"/>
  <c r="L32" i="12"/>
  <c r="L33" i="12"/>
  <c r="L34" i="12"/>
  <c r="L35" i="12"/>
  <c r="L36" i="12"/>
  <c r="W16" i="23"/>
  <c r="W17" i="23" s="1"/>
  <c r="W27" i="23"/>
  <c r="AA11" i="23"/>
  <c r="AA19" i="23"/>
  <c r="G93" i="19"/>
  <c r="M93" i="19" s="1"/>
  <c r="L37" i="18"/>
  <c r="L95" i="18"/>
  <c r="L94" i="18"/>
  <c r="L93" i="18"/>
  <c r="L56" i="17"/>
  <c r="L55" i="17"/>
  <c r="U11" i="23"/>
  <c r="L47" i="17"/>
  <c r="U10" i="23"/>
  <c r="L101" i="17"/>
  <c r="U24" i="23"/>
  <c r="L84" i="17"/>
  <c r="U20" i="23"/>
  <c r="L30" i="17"/>
  <c r="M47" i="16"/>
  <c r="S10" i="23"/>
  <c r="M84" i="16"/>
  <c r="S20" i="23"/>
  <c r="M55" i="16"/>
  <c r="M101" i="16"/>
  <c r="S24" i="23"/>
  <c r="M75" i="16"/>
  <c r="M56" i="16"/>
  <c r="L30" i="15"/>
  <c r="L86" i="15"/>
  <c r="L101" i="15"/>
  <c r="Q24" i="23"/>
  <c r="L55" i="15"/>
  <c r="Q11" i="23"/>
  <c r="L47" i="15"/>
  <c r="Q10" i="23"/>
  <c r="L75" i="15"/>
  <c r="L56" i="14"/>
  <c r="O11" i="23"/>
  <c r="L84" i="14"/>
  <c r="O20" i="23"/>
  <c r="L86" i="14"/>
  <c r="L30" i="14"/>
  <c r="L75" i="14"/>
  <c r="L26" i="13"/>
  <c r="L28" i="13"/>
  <c r="L31" i="13"/>
  <c r="L33" i="13"/>
  <c r="L35" i="13"/>
  <c r="M5" i="23"/>
  <c r="L40" i="13"/>
  <c r="L42" i="13"/>
  <c r="L44" i="13"/>
  <c r="L46" i="13"/>
  <c r="L49" i="13"/>
  <c r="L51" i="13"/>
  <c r="L53" i="13"/>
  <c r="AQ36" i="23"/>
  <c r="L59" i="13"/>
  <c r="L61" i="13"/>
  <c r="L63" i="13"/>
  <c r="L65" i="13"/>
  <c r="M12" i="23"/>
  <c r="L67" i="13"/>
  <c r="M13" i="23"/>
  <c r="L69" i="13"/>
  <c r="M15" i="23"/>
  <c r="L77" i="13"/>
  <c r="L79" i="13"/>
  <c r="L81" i="13"/>
  <c r="L83" i="13"/>
  <c r="L87" i="13"/>
  <c r="L89" i="13"/>
  <c r="L91" i="13"/>
  <c r="L97" i="13"/>
  <c r="L99" i="13"/>
  <c r="L104" i="13"/>
  <c r="L106" i="13"/>
  <c r="M25" i="23"/>
  <c r="L110" i="13"/>
  <c r="M30" i="23"/>
  <c r="L112" i="13"/>
  <c r="M32" i="23"/>
  <c r="L114" i="13"/>
  <c r="M34" i="23"/>
  <c r="L118" i="13"/>
  <c r="L124" i="13"/>
  <c r="L25" i="13"/>
  <c r="L27" i="13"/>
  <c r="L29" i="13"/>
  <c r="L32" i="13"/>
  <c r="L34" i="13"/>
  <c r="L36" i="13"/>
  <c r="M6" i="23"/>
  <c r="L39" i="13"/>
  <c r="L41" i="13"/>
  <c r="L43" i="13"/>
  <c r="L45" i="13"/>
  <c r="L50" i="13"/>
  <c r="L52" i="13"/>
  <c r="L54" i="13"/>
  <c r="L58" i="13"/>
  <c r="L60" i="13"/>
  <c r="L62" i="13"/>
  <c r="L64" i="13"/>
  <c r="L66" i="13"/>
  <c r="L68" i="13"/>
  <c r="M14" i="23"/>
  <c r="L76" i="13"/>
  <c r="L78" i="13"/>
  <c r="L80" i="13"/>
  <c r="L82" i="13"/>
  <c r="L85" i="13"/>
  <c r="L88" i="13"/>
  <c r="L90" i="13"/>
  <c r="L92" i="13"/>
  <c r="L98" i="13"/>
  <c r="L100" i="13"/>
  <c r="L103" i="13"/>
  <c r="L105" i="13"/>
  <c r="L107" i="13"/>
  <c r="M26" i="23"/>
  <c r="L111" i="13"/>
  <c r="M31" i="23"/>
  <c r="L113" i="13"/>
  <c r="M33" i="23"/>
  <c r="L115" i="13"/>
  <c r="M35" i="23"/>
  <c r="L119" i="13"/>
  <c r="L123" i="13"/>
  <c r="L125" i="13"/>
  <c r="L26" i="12"/>
  <c r="L25" i="12"/>
  <c r="L27" i="12"/>
  <c r="L29" i="12"/>
  <c r="L39" i="12"/>
  <c r="L41" i="12"/>
  <c r="L43" i="12"/>
  <c r="L45" i="12"/>
  <c r="L48" i="12"/>
  <c r="L50" i="12"/>
  <c r="L52" i="12"/>
  <c r="L54" i="12"/>
  <c r="L57" i="12"/>
  <c r="L59" i="12"/>
  <c r="L61" i="12"/>
  <c r="L63" i="12"/>
  <c r="L65" i="12"/>
  <c r="K12" i="23"/>
  <c r="L67" i="12"/>
  <c r="K13" i="23"/>
  <c r="L69" i="12"/>
  <c r="K15" i="23"/>
  <c r="L74" i="12"/>
  <c r="L76" i="12"/>
  <c r="L78" i="12"/>
  <c r="L80" i="12"/>
  <c r="L82" i="12"/>
  <c r="L85" i="12"/>
  <c r="L87" i="12"/>
  <c r="L89" i="12"/>
  <c r="L91" i="12"/>
  <c r="L96" i="12"/>
  <c r="L98" i="12"/>
  <c r="L100" i="12"/>
  <c r="L103" i="12"/>
  <c r="L105" i="12"/>
  <c r="L107" i="12"/>
  <c r="K26" i="23"/>
  <c r="L111" i="12"/>
  <c r="K31" i="23"/>
  <c r="L113" i="12"/>
  <c r="K33" i="23"/>
  <c r="L115" i="12"/>
  <c r="K35" i="23"/>
  <c r="L119" i="12"/>
  <c r="L123" i="12"/>
  <c r="L125" i="12"/>
  <c r="L24" i="12"/>
  <c r="L28" i="12"/>
  <c r="L30" i="12"/>
  <c r="L40" i="12"/>
  <c r="L42" i="12"/>
  <c r="L44" i="12"/>
  <c r="L46" i="12"/>
  <c r="L49" i="12"/>
  <c r="L51" i="12"/>
  <c r="L53" i="12"/>
  <c r="L58" i="12"/>
  <c r="L60" i="12"/>
  <c r="L62" i="12"/>
  <c r="L64" i="12"/>
  <c r="L66" i="12"/>
  <c r="L68" i="12"/>
  <c r="K14" i="23"/>
  <c r="L77" i="12"/>
  <c r="L79" i="12"/>
  <c r="L81" i="12"/>
  <c r="L83" i="12"/>
  <c r="L88" i="12"/>
  <c r="L90" i="12"/>
  <c r="L92" i="12"/>
  <c r="L97" i="12"/>
  <c r="L99" i="12"/>
  <c r="L102" i="12"/>
  <c r="L104" i="12"/>
  <c r="L106" i="12"/>
  <c r="L110" i="12"/>
  <c r="L112" i="12"/>
  <c r="L114" i="12"/>
  <c r="L118" i="12"/>
  <c r="L124" i="12"/>
  <c r="H117" i="19"/>
  <c r="CE98" i="23" s="1"/>
  <c r="H117" i="17"/>
  <c r="CA98" i="23" s="1"/>
  <c r="BU89" i="23"/>
  <c r="H95" i="12"/>
  <c r="BQ76" i="23" s="1"/>
  <c r="J96" i="16"/>
  <c r="J95" i="16"/>
  <c r="H70" i="16"/>
  <c r="BY51" i="23" s="1"/>
  <c r="H71" i="16"/>
  <c r="CG89" i="23"/>
  <c r="CG90" i="23"/>
  <c r="CC98" i="23"/>
  <c r="G94" i="19"/>
  <c r="M94" i="19" s="1"/>
  <c r="G71" i="19"/>
  <c r="M71" i="19" s="1"/>
  <c r="G70" i="19"/>
  <c r="M70" i="19" s="1"/>
  <c r="CC97" i="23"/>
  <c r="G71" i="18"/>
  <c r="BA52" i="23" s="1"/>
  <c r="G70" i="18"/>
  <c r="BA51" i="23" s="1"/>
  <c r="L22" i="18"/>
  <c r="G37" i="17"/>
  <c r="AY18" i="23" s="1"/>
  <c r="G95" i="17"/>
  <c r="AY76" i="23" s="1"/>
  <c r="L23" i="17"/>
  <c r="G22" i="17"/>
  <c r="AY3" i="23" s="1"/>
  <c r="M96" i="16"/>
  <c r="G95" i="16"/>
  <c r="AW76" i="23" s="1"/>
  <c r="M23" i="16"/>
  <c r="G22" i="16"/>
  <c r="M38" i="16"/>
  <c r="G37" i="16"/>
  <c r="AW18" i="23" s="1"/>
  <c r="G84" i="15"/>
  <c r="AU65" i="23" s="1"/>
  <c r="L38" i="15"/>
  <c r="AU18" i="23"/>
  <c r="L23" i="15"/>
  <c r="G22" i="15"/>
  <c r="L96" i="15"/>
  <c r="G95" i="15"/>
  <c r="AU76" i="23" s="1"/>
  <c r="L38" i="14"/>
  <c r="AS18" i="23"/>
  <c r="L23" i="14"/>
  <c r="AS3" i="23"/>
  <c r="L96" i="14"/>
  <c r="AS76" i="23"/>
  <c r="AS74" i="23"/>
  <c r="AS75" i="23"/>
  <c r="AQ65" i="23"/>
  <c r="AQ67" i="23"/>
  <c r="AQ77" i="23"/>
  <c r="AQ11" i="23"/>
  <c r="L57" i="13"/>
  <c r="AQ37" i="23"/>
  <c r="L74" i="13"/>
  <c r="L24" i="13"/>
  <c r="L38" i="13"/>
  <c r="L48" i="13"/>
  <c r="AQ28" i="23"/>
  <c r="AQ56" i="23"/>
  <c r="L102" i="13"/>
  <c r="AQ82" i="23"/>
  <c r="H22" i="12"/>
  <c r="AO54" i="23"/>
  <c r="BM86" i="23"/>
  <c r="CJ86" i="23" s="1"/>
  <c r="BM83" i="23"/>
  <c r="CJ83" i="23" s="1"/>
  <c r="BM61" i="23"/>
  <c r="CJ61" i="23" s="1"/>
  <c r="BM29" i="23"/>
  <c r="CJ29" i="23" s="1"/>
  <c r="BM5" i="23"/>
  <c r="CJ5" i="23" s="1"/>
  <c r="BM77" i="23"/>
  <c r="G64" i="23" s="1"/>
  <c r="BM65" i="23"/>
  <c r="G61" i="23" s="1"/>
  <c r="BM36" i="23"/>
  <c r="BM37" i="23"/>
  <c r="BM28" i="23"/>
  <c r="G51" i="23" s="1"/>
  <c r="BM11" i="23"/>
  <c r="BK96" i="23"/>
  <c r="BK82" i="23"/>
  <c r="BK65" i="23"/>
  <c r="BK36" i="23"/>
  <c r="E52" i="23" s="1"/>
  <c r="BK37" i="23"/>
  <c r="BK28" i="23"/>
  <c r="BK11" i="23"/>
  <c r="X51" i="23" l="1"/>
  <c r="N51" i="23"/>
  <c r="H51" i="23"/>
  <c r="E51" i="23"/>
  <c r="Z51" i="23"/>
  <c r="V51" i="23"/>
  <c r="T51" i="23"/>
  <c r="R51" i="23"/>
  <c r="P51" i="23"/>
  <c r="L51" i="23"/>
  <c r="J51" i="23"/>
  <c r="F51" i="23"/>
  <c r="X61" i="23"/>
  <c r="N61" i="23"/>
  <c r="H61" i="23"/>
  <c r="E61" i="23"/>
  <c r="Z61" i="23"/>
  <c r="V61" i="23"/>
  <c r="T61" i="23"/>
  <c r="R61" i="23"/>
  <c r="P61" i="23"/>
  <c r="L61" i="23"/>
  <c r="J61" i="23"/>
  <c r="F61" i="23"/>
  <c r="X65" i="23"/>
  <c r="N65" i="23"/>
  <c r="H65" i="23"/>
  <c r="E65" i="23"/>
  <c r="Z65" i="23"/>
  <c r="V65" i="23"/>
  <c r="T65" i="23"/>
  <c r="R65" i="23"/>
  <c r="P65" i="23"/>
  <c r="L65" i="23"/>
  <c r="J65" i="23"/>
  <c r="F65" i="23"/>
  <c r="CJ96" i="23"/>
  <c r="Z76" i="23"/>
  <c r="V76" i="23"/>
  <c r="T76" i="23"/>
  <c r="R76" i="23"/>
  <c r="P76" i="23"/>
  <c r="L76" i="23"/>
  <c r="J76" i="23"/>
  <c r="F76" i="23"/>
  <c r="X76" i="23"/>
  <c r="N76" i="23"/>
  <c r="H76" i="23"/>
  <c r="E76" i="23"/>
  <c r="G52" i="23"/>
  <c r="H116" i="19"/>
  <c r="CE97" i="23" s="1"/>
  <c r="BQ3" i="23"/>
  <c r="H71" i="12"/>
  <c r="BQ52" i="23" s="1"/>
  <c r="H70" i="12"/>
  <c r="BQ51" i="23" s="1"/>
  <c r="AU3" i="23"/>
  <c r="G70" i="15"/>
  <c r="J71" i="16"/>
  <c r="BY52" i="23"/>
  <c r="J22" i="16"/>
  <c r="BS51" i="23"/>
  <c r="H109" i="15"/>
  <c r="BW90" i="23" s="1"/>
  <c r="BS90" i="23"/>
  <c r="J93" i="16"/>
  <c r="BM82" i="23"/>
  <c r="G65" i="23" s="1"/>
  <c r="G68" i="23" s="1"/>
  <c r="BU90" i="23"/>
  <c r="H108" i="15"/>
  <c r="H116" i="17"/>
  <c r="CA97" i="23" s="1"/>
  <c r="BQ75" i="23"/>
  <c r="J94" i="16"/>
  <c r="CJ37" i="23"/>
  <c r="BC51" i="23"/>
  <c r="BC52" i="23"/>
  <c r="H121" i="19"/>
  <c r="CE102" i="23" s="1"/>
  <c r="BC75" i="23"/>
  <c r="BC74" i="23"/>
  <c r="AA16" i="23"/>
  <c r="AA17" i="23" s="1"/>
  <c r="K32" i="23"/>
  <c r="K30" i="23"/>
  <c r="AO65" i="23"/>
  <c r="K20" i="23" s="1"/>
  <c r="AO67" i="23"/>
  <c r="AO82" i="23"/>
  <c r="BI82" i="23" s="1"/>
  <c r="I101" i="19" s="1"/>
  <c r="AO56" i="23"/>
  <c r="AO77" i="23"/>
  <c r="K23" i="23" s="1"/>
  <c r="AO28" i="23"/>
  <c r="BI28" i="23" s="1"/>
  <c r="I47" i="19" s="1"/>
  <c r="AO19" i="23"/>
  <c r="BI19" i="23" s="1"/>
  <c r="I38" i="19" s="1"/>
  <c r="AO37" i="23"/>
  <c r="BI37" i="23" s="1"/>
  <c r="I56" i="19" s="1"/>
  <c r="AO36" i="23"/>
  <c r="BI36" i="23" s="1"/>
  <c r="I55" i="19" s="1"/>
  <c r="L56" i="12"/>
  <c r="AO11" i="23"/>
  <c r="CJ11" i="23"/>
  <c r="CJ28" i="23"/>
  <c r="CJ36" i="23"/>
  <c r="CJ65" i="23"/>
  <c r="CJ82" i="23"/>
  <c r="BM4" i="23"/>
  <c r="G45" i="23" s="1"/>
  <c r="G48" i="23" s="1"/>
  <c r="BM18" i="23"/>
  <c r="BM19" i="23"/>
  <c r="G50" i="23" s="1"/>
  <c r="G57" i="23" s="1"/>
  <c r="G58" i="23" s="1"/>
  <c r="BM75" i="23"/>
  <c r="BM54" i="23"/>
  <c r="G60" i="23" s="1"/>
  <c r="G62" i="23" s="1"/>
  <c r="BK4" i="23"/>
  <c r="BK18" i="23"/>
  <c r="CJ18" i="23" s="1"/>
  <c r="BK19" i="23"/>
  <c r="BK75" i="23"/>
  <c r="BK54" i="23"/>
  <c r="BK76" i="23"/>
  <c r="BK77" i="23"/>
  <c r="AA21" i="23"/>
  <c r="BE75" i="23"/>
  <c r="BE74" i="23"/>
  <c r="BE52" i="23"/>
  <c r="BE51" i="23"/>
  <c r="BI11" i="23"/>
  <c r="I30" i="19" s="1"/>
  <c r="BI67" i="23"/>
  <c r="I86" i="19" s="1"/>
  <c r="BI56" i="23"/>
  <c r="I75" i="19" s="1"/>
  <c r="BI16" i="23"/>
  <c r="I35" i="19" s="1"/>
  <c r="BI17" i="23"/>
  <c r="I36" i="19" s="1"/>
  <c r="O21" i="23"/>
  <c r="O16" i="23"/>
  <c r="O17" i="23" s="1"/>
  <c r="U27" i="23"/>
  <c r="Q16" i="23"/>
  <c r="Q17" i="23" s="1"/>
  <c r="Q27" i="23"/>
  <c r="S27" i="23"/>
  <c r="U16" i="23"/>
  <c r="U17" i="23" s="1"/>
  <c r="AY54" i="23"/>
  <c r="G94" i="17"/>
  <c r="AY75" i="23" s="1"/>
  <c r="G93" i="17"/>
  <c r="AY74" i="23" s="1"/>
  <c r="Y28" i="23"/>
  <c r="Y36" i="23" s="1"/>
  <c r="Y38" i="23" s="1"/>
  <c r="AW54" i="23"/>
  <c r="S19" i="23" s="1"/>
  <c r="S21" i="23" s="1"/>
  <c r="M73" i="16"/>
  <c r="G93" i="16"/>
  <c r="G94" i="16"/>
  <c r="W28" i="23"/>
  <c r="W36" i="23" s="1"/>
  <c r="W38" i="23" s="1"/>
  <c r="W39" i="23" s="1"/>
  <c r="G94" i="15"/>
  <c r="AU75" i="23" s="1"/>
  <c r="AQ4" i="23"/>
  <c r="M4" i="23" s="1"/>
  <c r="M7" i="23" s="1"/>
  <c r="AO4" i="23"/>
  <c r="K4" i="23" s="1"/>
  <c r="K7" i="23" s="1"/>
  <c r="S11" i="23"/>
  <c r="S16" i="23" s="1"/>
  <c r="S17" i="23" s="1"/>
  <c r="L71" i="18"/>
  <c r="L37" i="17"/>
  <c r="L95" i="17"/>
  <c r="L94" i="17"/>
  <c r="L93" i="17"/>
  <c r="M22" i="16"/>
  <c r="AW3" i="23"/>
  <c r="M95" i="16"/>
  <c r="L95" i="15"/>
  <c r="L37" i="15"/>
  <c r="L84" i="15"/>
  <c r="Q20" i="23"/>
  <c r="Q21" i="23" s="1"/>
  <c r="G93" i="15"/>
  <c r="AU74" i="23" s="1"/>
  <c r="L93" i="14"/>
  <c r="L94" i="14"/>
  <c r="L95" i="14"/>
  <c r="L37" i="14"/>
  <c r="L101" i="13"/>
  <c r="M24" i="23"/>
  <c r="L47" i="13"/>
  <c r="M10" i="23"/>
  <c r="L56" i="13"/>
  <c r="L30" i="13"/>
  <c r="L86" i="13"/>
  <c r="L75" i="13"/>
  <c r="L96" i="13"/>
  <c r="M23" i="23"/>
  <c r="L84" i="13"/>
  <c r="M20" i="23"/>
  <c r="L55" i="13"/>
  <c r="M11" i="23"/>
  <c r="L95" i="12"/>
  <c r="AO75" i="23"/>
  <c r="K19" i="23"/>
  <c r="L101" i="12"/>
  <c r="K24" i="23"/>
  <c r="L73" i="12"/>
  <c r="L47" i="12"/>
  <c r="L84" i="12"/>
  <c r="L38" i="12"/>
  <c r="L86" i="12"/>
  <c r="L55" i="12"/>
  <c r="L75" i="12"/>
  <c r="H120" i="19"/>
  <c r="CE101" i="23" s="1"/>
  <c r="H121" i="17"/>
  <c r="CA102" i="23" s="1"/>
  <c r="H120" i="17"/>
  <c r="CA101" i="23" s="1"/>
  <c r="BU98" i="23"/>
  <c r="BU97" i="23"/>
  <c r="H109" i="12"/>
  <c r="BQ90" i="23" s="1"/>
  <c r="J70" i="16"/>
  <c r="H108" i="16"/>
  <c r="BY89" i="23" s="1"/>
  <c r="H109" i="16"/>
  <c r="BY90" i="23" s="1"/>
  <c r="CG97" i="23"/>
  <c r="CG98" i="23"/>
  <c r="H129" i="19"/>
  <c r="CE110" i="23" s="1"/>
  <c r="CC102" i="23"/>
  <c r="CC101" i="23"/>
  <c r="G109" i="19"/>
  <c r="M109" i="19" s="1"/>
  <c r="G108" i="19"/>
  <c r="M108" i="19" s="1"/>
  <c r="G109" i="18"/>
  <c r="BA90" i="23" s="1"/>
  <c r="L70" i="18"/>
  <c r="G108" i="18"/>
  <c r="BA89" i="23" s="1"/>
  <c r="G71" i="17"/>
  <c r="AY52" i="23" s="1"/>
  <c r="G70" i="17"/>
  <c r="AY51" i="23" s="1"/>
  <c r="L22" i="17"/>
  <c r="M37" i="16"/>
  <c r="G71" i="16"/>
  <c r="AW52" i="23" s="1"/>
  <c r="G70" i="16"/>
  <c r="AW51" i="23" s="1"/>
  <c r="AU51" i="23"/>
  <c r="G71" i="15"/>
  <c r="AU52" i="23" s="1"/>
  <c r="L22" i="15"/>
  <c r="AS51" i="23"/>
  <c r="AS52" i="23"/>
  <c r="L22" i="14"/>
  <c r="AQ76" i="23"/>
  <c r="L23" i="13"/>
  <c r="AQ3" i="23"/>
  <c r="AQ18" i="23"/>
  <c r="AO74" i="23"/>
  <c r="L23" i="12"/>
  <c r="BM76" i="23"/>
  <c r="BM52" i="23"/>
  <c r="BM74" i="23"/>
  <c r="BK52" i="23"/>
  <c r="CJ77" i="23" l="1"/>
  <c r="X64" i="23"/>
  <c r="N64" i="23"/>
  <c r="H64" i="23"/>
  <c r="E64" i="23"/>
  <c r="Z64" i="23"/>
  <c r="V64" i="23"/>
  <c r="T64" i="23"/>
  <c r="R64" i="23"/>
  <c r="P64" i="23"/>
  <c r="L64" i="23"/>
  <c r="J64" i="23"/>
  <c r="F64" i="23"/>
  <c r="CJ54" i="23"/>
  <c r="Z60" i="23"/>
  <c r="Z62" i="23" s="1"/>
  <c r="V60" i="23"/>
  <c r="T60" i="23"/>
  <c r="T62" i="23" s="1"/>
  <c r="R60" i="23"/>
  <c r="P60" i="23"/>
  <c r="P62" i="23" s="1"/>
  <c r="L60" i="23"/>
  <c r="J60" i="23"/>
  <c r="F60" i="23"/>
  <c r="X60" i="23"/>
  <c r="X62" i="23" s="1"/>
  <c r="N60" i="23"/>
  <c r="H60" i="23"/>
  <c r="E60" i="23"/>
  <c r="CJ19" i="23"/>
  <c r="Z50" i="23"/>
  <c r="Z57" i="23" s="1"/>
  <c r="V50" i="23"/>
  <c r="V57" i="23" s="1"/>
  <c r="R50" i="23"/>
  <c r="R57" i="23" s="1"/>
  <c r="N50" i="23"/>
  <c r="N57" i="23" s="1"/>
  <c r="J50" i="23"/>
  <c r="J57" i="23" s="1"/>
  <c r="F50" i="23"/>
  <c r="F57" i="23" s="1"/>
  <c r="E50" i="23"/>
  <c r="X50" i="23"/>
  <c r="X57" i="23" s="1"/>
  <c r="T50" i="23"/>
  <c r="T57" i="23" s="1"/>
  <c r="P50" i="23"/>
  <c r="P57" i="23" s="1"/>
  <c r="L50" i="23"/>
  <c r="L57" i="23" s="1"/>
  <c r="H50" i="23"/>
  <c r="H57" i="23" s="1"/>
  <c r="CJ4" i="23"/>
  <c r="H45" i="23"/>
  <c r="H48" i="23" s="1"/>
  <c r="H58" i="23" s="1"/>
  <c r="L45" i="23"/>
  <c r="L48" i="23" s="1"/>
  <c r="L58" i="23" s="1"/>
  <c r="P45" i="23"/>
  <c r="P48" i="23" s="1"/>
  <c r="P58" i="23" s="1"/>
  <c r="T45" i="23"/>
  <c r="T48" i="23" s="1"/>
  <c r="T58" i="23" s="1"/>
  <c r="X45" i="23"/>
  <c r="X48" i="23" s="1"/>
  <c r="X58" i="23" s="1"/>
  <c r="E45" i="23"/>
  <c r="F45" i="23"/>
  <c r="F48" i="23" s="1"/>
  <c r="F58" i="23" s="1"/>
  <c r="J45" i="23"/>
  <c r="J48" i="23" s="1"/>
  <c r="J58" i="23" s="1"/>
  <c r="N45" i="23"/>
  <c r="N48" i="23" s="1"/>
  <c r="N58" i="23" s="1"/>
  <c r="R45" i="23"/>
  <c r="R48" i="23" s="1"/>
  <c r="R58" i="23" s="1"/>
  <c r="V45" i="23"/>
  <c r="V48" i="23" s="1"/>
  <c r="V58" i="23" s="1"/>
  <c r="Z45" i="23"/>
  <c r="Z48" i="23" s="1"/>
  <c r="Z58" i="23" s="1"/>
  <c r="J62" i="23"/>
  <c r="H62" i="23"/>
  <c r="F62" i="23"/>
  <c r="L62" i="23"/>
  <c r="R62" i="23"/>
  <c r="V62" i="23"/>
  <c r="N62" i="23"/>
  <c r="G69" i="23"/>
  <c r="G77" i="23" s="1"/>
  <c r="G79" i="23" s="1"/>
  <c r="H117" i="15"/>
  <c r="BW98" i="23" s="1"/>
  <c r="BW89" i="23"/>
  <c r="H116" i="15"/>
  <c r="BS89" i="23"/>
  <c r="BS98" i="23"/>
  <c r="CJ52" i="23"/>
  <c r="H108" i="12"/>
  <c r="BQ89" i="23" s="1"/>
  <c r="CJ75" i="23"/>
  <c r="CJ76" i="23"/>
  <c r="BC89" i="23"/>
  <c r="BC90" i="23"/>
  <c r="M27" i="23"/>
  <c r="L94" i="15"/>
  <c r="AA28" i="23"/>
  <c r="AA36" i="23" s="1"/>
  <c r="AA38" i="23" s="1"/>
  <c r="BI77" i="23"/>
  <c r="I96" i="19" s="1"/>
  <c r="BI65" i="23"/>
  <c r="I84" i="19" s="1"/>
  <c r="K11" i="23"/>
  <c r="K27" i="23"/>
  <c r="K9" i="23"/>
  <c r="K10" i="23"/>
  <c r="AO76" i="23"/>
  <c r="BI76" i="23" s="1"/>
  <c r="I95" i="19" s="1"/>
  <c r="AO18" i="23"/>
  <c r="BI18" i="23" s="1"/>
  <c r="I37" i="19" s="1"/>
  <c r="AO3" i="23"/>
  <c r="BI3" i="23" s="1"/>
  <c r="I22" i="19" s="1"/>
  <c r="BM51" i="23"/>
  <c r="BM3" i="23"/>
  <c r="BK74" i="23"/>
  <c r="CJ74" i="23" s="1"/>
  <c r="BK51" i="23"/>
  <c r="BK3" i="23"/>
  <c r="BO5" i="23"/>
  <c r="CK5" i="23" s="1"/>
  <c r="S24" i="11"/>
  <c r="K24" i="22"/>
  <c r="BO28" i="23"/>
  <c r="S47" i="11"/>
  <c r="K47" i="22"/>
  <c r="BO36" i="23"/>
  <c r="S55" i="11"/>
  <c r="K55" i="22"/>
  <c r="BO65" i="23"/>
  <c r="S84" i="11"/>
  <c r="K84" i="22"/>
  <c r="BO82" i="23"/>
  <c r="S101" i="11"/>
  <c r="K101" i="22"/>
  <c r="BO11" i="23"/>
  <c r="CK11" i="23" s="1"/>
  <c r="S30" i="11"/>
  <c r="K30" i="22"/>
  <c r="BO19" i="23"/>
  <c r="S38" i="11"/>
  <c r="K38" i="22"/>
  <c r="BO37" i="23"/>
  <c r="CK37" i="23" s="1"/>
  <c r="S56" i="11"/>
  <c r="K56" i="22"/>
  <c r="BO54" i="23"/>
  <c r="S73" i="11"/>
  <c r="K73" i="22"/>
  <c r="BO77" i="23"/>
  <c r="S96" i="11"/>
  <c r="K96" i="22"/>
  <c r="BE90" i="23"/>
  <c r="BE89" i="23"/>
  <c r="U19" i="23"/>
  <c r="U21" i="23" s="1"/>
  <c r="BI4" i="23"/>
  <c r="I23" i="19" s="1"/>
  <c r="U28" i="23"/>
  <c r="U36" i="23" s="1"/>
  <c r="U38" i="23" s="1"/>
  <c r="U39" i="23" s="1"/>
  <c r="O28" i="23"/>
  <c r="O36" i="23" s="1"/>
  <c r="O38" i="23" s="1"/>
  <c r="O39" i="23" s="1"/>
  <c r="S28" i="23"/>
  <c r="S36" i="23" s="1"/>
  <c r="S38" i="23" s="1"/>
  <c r="S39" i="23" s="1"/>
  <c r="AW75" i="23"/>
  <c r="M94" i="16"/>
  <c r="AW74" i="23"/>
  <c r="M93" i="16"/>
  <c r="AQ54" i="23"/>
  <c r="M19" i="23" s="1"/>
  <c r="M21" i="23" s="1"/>
  <c r="K21" i="23"/>
  <c r="M16" i="23"/>
  <c r="M17" i="23" s="1"/>
  <c r="Q28" i="23"/>
  <c r="Q36" i="23" s="1"/>
  <c r="Q38" i="23" s="1"/>
  <c r="Q39" i="23" s="1"/>
  <c r="L109" i="18"/>
  <c r="L71" i="17"/>
  <c r="M71" i="16"/>
  <c r="L71" i="15"/>
  <c r="L93" i="15"/>
  <c r="L71" i="14"/>
  <c r="L37" i="13"/>
  <c r="L95" i="13"/>
  <c r="L37" i="12"/>
  <c r="L93" i="12"/>
  <c r="L94" i="12"/>
  <c r="H129" i="17"/>
  <c r="CA110" i="23" s="1"/>
  <c r="J109" i="16"/>
  <c r="H116" i="12"/>
  <c r="BQ97" i="23" s="1"/>
  <c r="CC110" i="23"/>
  <c r="H116" i="16"/>
  <c r="BY97" i="23" s="1"/>
  <c r="H117" i="16"/>
  <c r="CG102" i="23"/>
  <c r="G117" i="19"/>
  <c r="M117" i="19" s="1"/>
  <c r="G116" i="19"/>
  <c r="M116" i="19" s="1"/>
  <c r="G117" i="18"/>
  <c r="BA98" i="23" s="1"/>
  <c r="G116" i="18"/>
  <c r="BA97" i="23" s="1"/>
  <c r="L108" i="18"/>
  <c r="G109" i="17"/>
  <c r="AY90" i="23" s="1"/>
  <c r="L70" i="17"/>
  <c r="G108" i="17"/>
  <c r="AY89" i="23" s="1"/>
  <c r="G108" i="16"/>
  <c r="AW89" i="23" s="1"/>
  <c r="G109" i="16"/>
  <c r="AW90" i="23" s="1"/>
  <c r="M70" i="16"/>
  <c r="G108" i="15"/>
  <c r="AU89" i="23" s="1"/>
  <c r="L70" i="15"/>
  <c r="G109" i="15"/>
  <c r="AU90" i="23" s="1"/>
  <c r="AS89" i="23"/>
  <c r="L70" i="14"/>
  <c r="AS90" i="23"/>
  <c r="AQ52" i="23"/>
  <c r="AQ51" i="23"/>
  <c r="L22" i="13"/>
  <c r="AQ74" i="23"/>
  <c r="L73" i="13"/>
  <c r="AQ75" i="23"/>
  <c r="L22" i="12"/>
  <c r="BM90" i="23"/>
  <c r="V69" i="23" l="1"/>
  <c r="N69" i="23"/>
  <c r="F69" i="23"/>
  <c r="X69" i="23"/>
  <c r="P69" i="23"/>
  <c r="H69" i="23"/>
  <c r="Z69" i="23"/>
  <c r="R69" i="23"/>
  <c r="J69" i="23"/>
  <c r="T69" i="23"/>
  <c r="L69" i="23"/>
  <c r="CJ3" i="23"/>
  <c r="CK77" i="23"/>
  <c r="I64" i="23"/>
  <c r="CK65" i="23"/>
  <c r="I61" i="23"/>
  <c r="CK28" i="23"/>
  <c r="I51" i="23"/>
  <c r="CK54" i="23"/>
  <c r="I60" i="23"/>
  <c r="CK19" i="23"/>
  <c r="I50" i="23"/>
  <c r="CK82" i="23"/>
  <c r="I65" i="23"/>
  <c r="CK36" i="23"/>
  <c r="I52" i="23"/>
  <c r="BS97" i="23"/>
  <c r="BS102" i="23"/>
  <c r="J117" i="16"/>
  <c r="BY98" i="23"/>
  <c r="J108" i="16"/>
  <c r="H117" i="12"/>
  <c r="BQ98" i="23" s="1"/>
  <c r="BU107" i="23"/>
  <c r="BU101" i="23"/>
  <c r="BW97" i="23"/>
  <c r="H121" i="15"/>
  <c r="BC98" i="23"/>
  <c r="BC97" i="23"/>
  <c r="K16" i="23"/>
  <c r="K17" i="23" s="1"/>
  <c r="K28" i="23" s="1"/>
  <c r="K36" i="23" s="1"/>
  <c r="K38" i="23" s="1"/>
  <c r="K39" i="23" s="1"/>
  <c r="AO51" i="23"/>
  <c r="AO52" i="23"/>
  <c r="BI52" i="23" s="1"/>
  <c r="I71" i="19" s="1"/>
  <c r="BI51" i="23"/>
  <c r="I70" i="19" s="1"/>
  <c r="BM89" i="23"/>
  <c r="CJ51" i="23"/>
  <c r="BK90" i="23"/>
  <c r="CJ90" i="23" s="1"/>
  <c r="CG101" i="23"/>
  <c r="BO76" i="23"/>
  <c r="CK76" i="23" s="1"/>
  <c r="S95" i="11"/>
  <c r="K95" i="22"/>
  <c r="BO74" i="23"/>
  <c r="CK74" i="23" s="1"/>
  <c r="S93" i="11"/>
  <c r="K93" i="22"/>
  <c r="BO4" i="23"/>
  <c r="S23" i="11"/>
  <c r="K23" i="22"/>
  <c r="BO75" i="23"/>
  <c r="CK75" i="23" s="1"/>
  <c r="S94" i="11"/>
  <c r="K94" i="22"/>
  <c r="BO18" i="23"/>
  <c r="CK18" i="23" s="1"/>
  <c r="S37" i="11"/>
  <c r="K37" i="22"/>
  <c r="BE98" i="23"/>
  <c r="BE97" i="23"/>
  <c r="BI74" i="23"/>
  <c r="I93" i="19" s="1"/>
  <c r="BI75" i="23"/>
  <c r="I94" i="19" s="1"/>
  <c r="BI54" i="23"/>
  <c r="I73" i="19" s="1"/>
  <c r="M28" i="23"/>
  <c r="M36" i="23" s="1"/>
  <c r="M38" i="23" s="1"/>
  <c r="M39" i="23" s="1"/>
  <c r="L117" i="18"/>
  <c r="L109" i="17"/>
  <c r="M109" i="16"/>
  <c r="L109" i="15"/>
  <c r="L109" i="14"/>
  <c r="L71" i="13"/>
  <c r="L94" i="13"/>
  <c r="L93" i="13"/>
  <c r="L71" i="12"/>
  <c r="H121" i="12"/>
  <c r="BQ102" i="23" s="1"/>
  <c r="H120" i="12"/>
  <c r="BQ101" i="23" s="1"/>
  <c r="J116" i="16"/>
  <c r="H120" i="16"/>
  <c r="H121" i="16"/>
  <c r="BY102" i="23" s="1"/>
  <c r="CG110" i="23"/>
  <c r="CK110" i="23" s="1"/>
  <c r="G121" i="19"/>
  <c r="M121" i="19" s="1"/>
  <c r="G120" i="19"/>
  <c r="M120" i="19" s="1"/>
  <c r="G121" i="18"/>
  <c r="BA102" i="23" s="1"/>
  <c r="G120" i="18"/>
  <c r="BA101" i="23" s="1"/>
  <c r="L116" i="18"/>
  <c r="G117" i="17"/>
  <c r="AY98" i="23" s="1"/>
  <c r="G116" i="17"/>
  <c r="AY97" i="23" s="1"/>
  <c r="L108" i="17"/>
  <c r="G116" i="16"/>
  <c r="AW97" i="23" s="1"/>
  <c r="G117" i="16"/>
  <c r="AW98" i="23" s="1"/>
  <c r="M108" i="16"/>
  <c r="G116" i="15"/>
  <c r="L108" i="15"/>
  <c r="G117" i="15"/>
  <c r="AU98" i="23" s="1"/>
  <c r="AS97" i="23"/>
  <c r="L108" i="14"/>
  <c r="AS98" i="23"/>
  <c r="AQ90" i="23"/>
  <c r="AQ89" i="23"/>
  <c r="L70" i="13"/>
  <c r="L70" i="12"/>
  <c r="BM98" i="23"/>
  <c r="CK4" i="23" l="1"/>
  <c r="I45" i="23"/>
  <c r="I48" i="23" s="1"/>
  <c r="I57" i="23"/>
  <c r="I62" i="23"/>
  <c r="I68" i="23"/>
  <c r="J120" i="16"/>
  <c r="BY101" i="23"/>
  <c r="BM97" i="23"/>
  <c r="H129" i="15"/>
  <c r="BW110" i="23" s="1"/>
  <c r="BW102" i="23"/>
  <c r="BS101" i="23"/>
  <c r="BS110" i="23"/>
  <c r="BC102" i="23"/>
  <c r="Y39" i="23" s="1"/>
  <c r="BC101" i="23"/>
  <c r="AU97" i="23"/>
  <c r="G120" i="15"/>
  <c r="AU101" i="23" s="1"/>
  <c r="AO90" i="23"/>
  <c r="BI90" i="23" s="1"/>
  <c r="I109" i="19" s="1"/>
  <c r="AO89" i="23"/>
  <c r="BI89" i="23"/>
  <c r="I108" i="19" s="1"/>
  <c r="BK89" i="23"/>
  <c r="CJ89" i="23" s="1"/>
  <c r="BK98" i="23"/>
  <c r="CJ98" i="23" s="1"/>
  <c r="CG107" i="23"/>
  <c r="CK107" i="23" s="1"/>
  <c r="K126" i="22"/>
  <c r="BO51" i="23"/>
  <c r="CK51" i="23" s="1"/>
  <c r="S70" i="11"/>
  <c r="K70" i="22"/>
  <c r="BO3" i="23"/>
  <c r="CK3" i="23" s="1"/>
  <c r="S22" i="11"/>
  <c r="K22" i="22"/>
  <c r="BE102" i="23"/>
  <c r="AA39" i="23" s="1"/>
  <c r="BE101" i="23"/>
  <c r="L121" i="18"/>
  <c r="L117" i="17"/>
  <c r="M117" i="16"/>
  <c r="L117" i="15"/>
  <c r="L117" i="14"/>
  <c r="L109" i="13"/>
  <c r="L109" i="12"/>
  <c r="H129" i="12"/>
  <c r="BQ110" i="23" s="1"/>
  <c r="H126" i="12"/>
  <c r="H129" i="16"/>
  <c r="J121" i="16"/>
  <c r="K129" i="22"/>
  <c r="G129" i="19"/>
  <c r="G126" i="19"/>
  <c r="M126" i="19" s="1"/>
  <c r="G129" i="18"/>
  <c r="BA110" i="23" s="1"/>
  <c r="G126" i="18"/>
  <c r="BA107" i="23" s="1"/>
  <c r="L120" i="18"/>
  <c r="G121" i="17"/>
  <c r="AY102" i="23" s="1"/>
  <c r="G120" i="17"/>
  <c r="AY101" i="23" s="1"/>
  <c r="L116" i="17"/>
  <c r="G120" i="16"/>
  <c r="AW101" i="23" s="1"/>
  <c r="G121" i="16"/>
  <c r="AW102" i="23" s="1"/>
  <c r="M116" i="16"/>
  <c r="L116" i="15"/>
  <c r="G121" i="15"/>
  <c r="AU102" i="23" s="1"/>
  <c r="AS101" i="23"/>
  <c r="L116" i="14"/>
  <c r="AS102" i="23"/>
  <c r="AQ98" i="23"/>
  <c r="AQ97" i="23"/>
  <c r="L108" i="13"/>
  <c r="L108" i="12"/>
  <c r="BM101" i="23"/>
  <c r="BM102" i="23"/>
  <c r="I58" i="23" l="1"/>
  <c r="I69" i="23" s="1"/>
  <c r="I77" i="23" s="1"/>
  <c r="I79" i="23" s="1"/>
  <c r="BC110" i="23"/>
  <c r="M129" i="19"/>
  <c r="J126" i="16"/>
  <c r="BQ107" i="23"/>
  <c r="BY110" i="23"/>
  <c r="BC107" i="23"/>
  <c r="S131" i="19"/>
  <c r="AO97" i="23"/>
  <c r="BI97" i="23" s="1"/>
  <c r="I116" i="19" s="1"/>
  <c r="AO98" i="23"/>
  <c r="BK97" i="23"/>
  <c r="CJ97" i="23" s="1"/>
  <c r="BK102" i="23"/>
  <c r="CJ102" i="23" s="1"/>
  <c r="BO90" i="23"/>
  <c r="CK90" i="23" s="1"/>
  <c r="S109" i="11"/>
  <c r="K109" i="22"/>
  <c r="BO89" i="23"/>
  <c r="CK89" i="23" s="1"/>
  <c r="S108" i="11"/>
  <c r="K108" i="22"/>
  <c r="BO52" i="23"/>
  <c r="CK52" i="23" s="1"/>
  <c r="S71" i="11"/>
  <c r="K71" i="22"/>
  <c r="BE110" i="23"/>
  <c r="BE107" i="23"/>
  <c r="BI98" i="23"/>
  <c r="I117" i="19" s="1"/>
  <c r="L129" i="18"/>
  <c r="L126" i="18"/>
  <c r="L121" i="17"/>
  <c r="M121" i="16"/>
  <c r="L121" i="15"/>
  <c r="L121" i="14"/>
  <c r="L117" i="13"/>
  <c r="L117" i="12"/>
  <c r="J129" i="16"/>
  <c r="BM110" i="23"/>
  <c r="G129" i="17"/>
  <c r="AY110" i="23" s="1"/>
  <c r="G126" i="17"/>
  <c r="AY107" i="23" s="1"/>
  <c r="L120" i="17"/>
  <c r="G129" i="16"/>
  <c r="AW110" i="23" s="1"/>
  <c r="M120" i="16"/>
  <c r="G126" i="16"/>
  <c r="AW107" i="23" s="1"/>
  <c r="L120" i="15"/>
  <c r="G129" i="15"/>
  <c r="AU110" i="23" s="1"/>
  <c r="G126" i="15"/>
  <c r="AU107" i="23" s="1"/>
  <c r="L120" i="14"/>
  <c r="AS110" i="23"/>
  <c r="AS107" i="23"/>
  <c r="AQ102" i="23"/>
  <c r="AQ101" i="23"/>
  <c r="L116" i="13"/>
  <c r="L116" i="12"/>
  <c r="BO98" i="23"/>
  <c r="CK98" i="23" s="1"/>
  <c r="BO97" i="23"/>
  <c r="CK97" i="23" s="1"/>
  <c r="BM107" i="23"/>
  <c r="AK106" i="23"/>
  <c r="AK105" i="23"/>
  <c r="AK104" i="23"/>
  <c r="AK100" i="23"/>
  <c r="AK99" i="23"/>
  <c r="AK96" i="23"/>
  <c r="AK95" i="23"/>
  <c r="AK94" i="23"/>
  <c r="AK93" i="23"/>
  <c r="AK92" i="23"/>
  <c r="AK91" i="23"/>
  <c r="AK88" i="23"/>
  <c r="AK87" i="23"/>
  <c r="AK86" i="23"/>
  <c r="AK85" i="23"/>
  <c r="AK84" i="23"/>
  <c r="AK83" i="23"/>
  <c r="AK81" i="23"/>
  <c r="AK80" i="23"/>
  <c r="AK79" i="23"/>
  <c r="AK73" i="23"/>
  <c r="AK72" i="23"/>
  <c r="AK71" i="23"/>
  <c r="AK70" i="23"/>
  <c r="AK69" i="23"/>
  <c r="AK68" i="23"/>
  <c r="AK66" i="23"/>
  <c r="AK64" i="23"/>
  <c r="AK63" i="23"/>
  <c r="AK62" i="23"/>
  <c r="AK61" i="23"/>
  <c r="AK60" i="23"/>
  <c r="AK59" i="23"/>
  <c r="AK58" i="23"/>
  <c r="AK57" i="23"/>
  <c r="AK55" i="23"/>
  <c r="AK50" i="23"/>
  <c r="AK49" i="23"/>
  <c r="AK48" i="23"/>
  <c r="AK47" i="23"/>
  <c r="AK46" i="23"/>
  <c r="AK45" i="23"/>
  <c r="AK44" i="23"/>
  <c r="AK43" i="23"/>
  <c r="AK42" i="23"/>
  <c r="AK41" i="23"/>
  <c r="AK40" i="23"/>
  <c r="AK39" i="23"/>
  <c r="AK38" i="23"/>
  <c r="AK35" i="23"/>
  <c r="AK34" i="23"/>
  <c r="AK33" i="23"/>
  <c r="AK32" i="23"/>
  <c r="AK31" i="23"/>
  <c r="AK30" i="23"/>
  <c r="AK29" i="23"/>
  <c r="AK27" i="23"/>
  <c r="AK26" i="23"/>
  <c r="AK25" i="23"/>
  <c r="AK24" i="23"/>
  <c r="AK23" i="23"/>
  <c r="AK22" i="23"/>
  <c r="AK21" i="23"/>
  <c r="AK20" i="23"/>
  <c r="AK17" i="23"/>
  <c r="AK16" i="23"/>
  <c r="AK15" i="23"/>
  <c r="AK14" i="23"/>
  <c r="AK13" i="23"/>
  <c r="AK10" i="23"/>
  <c r="AK9" i="23"/>
  <c r="AK8" i="23"/>
  <c r="AK7" i="23"/>
  <c r="AK6" i="23"/>
  <c r="AK5" i="23"/>
  <c r="AO101" i="23" l="1"/>
  <c r="BI101" i="23" s="1"/>
  <c r="I120" i="19" s="1"/>
  <c r="AO102" i="23"/>
  <c r="BI102" i="23" s="1"/>
  <c r="I121" i="19" s="1"/>
  <c r="BK101" i="23"/>
  <c r="CJ101" i="23" s="1"/>
  <c r="BK107" i="23"/>
  <c r="CJ107" i="23" s="1"/>
  <c r="BK110" i="23"/>
  <c r="CJ110" i="23" s="1"/>
  <c r="AM5" i="23"/>
  <c r="BJ5" i="23" s="1"/>
  <c r="J24" i="22"/>
  <c r="AM7" i="23"/>
  <c r="BJ7" i="23" s="1"/>
  <c r="J26" i="22"/>
  <c r="AM9" i="23"/>
  <c r="BJ9" i="23" s="1"/>
  <c r="J28" i="22"/>
  <c r="AM12" i="23"/>
  <c r="BJ12" i="23" s="1"/>
  <c r="J31" i="22"/>
  <c r="AM14" i="23"/>
  <c r="BJ14" i="23" s="1"/>
  <c r="J33" i="22"/>
  <c r="AM16" i="23"/>
  <c r="BJ16" i="23" s="1"/>
  <c r="J35" i="22"/>
  <c r="AM20" i="23"/>
  <c r="BJ20" i="23" s="1"/>
  <c r="J39" i="22"/>
  <c r="AM22" i="23"/>
  <c r="BJ22" i="23" s="1"/>
  <c r="J41" i="22"/>
  <c r="AM24" i="23"/>
  <c r="BJ24" i="23" s="1"/>
  <c r="J43" i="22"/>
  <c r="AM26" i="23"/>
  <c r="BJ26" i="23" s="1"/>
  <c r="J45" i="22"/>
  <c r="AM29" i="23"/>
  <c r="BJ29" i="23" s="1"/>
  <c r="J48" i="22"/>
  <c r="AM31" i="23"/>
  <c r="BJ31" i="23" s="1"/>
  <c r="J50" i="22"/>
  <c r="AM33" i="23"/>
  <c r="BJ33" i="23" s="1"/>
  <c r="J52" i="22"/>
  <c r="AM35" i="23"/>
  <c r="BJ35" i="23" s="1"/>
  <c r="J54" i="22"/>
  <c r="AM39" i="23"/>
  <c r="BJ39" i="23" s="1"/>
  <c r="J58" i="22"/>
  <c r="AM41" i="23"/>
  <c r="BJ41" i="23" s="1"/>
  <c r="J60" i="22"/>
  <c r="AM43" i="23"/>
  <c r="BJ43" i="23" s="1"/>
  <c r="J62" i="22"/>
  <c r="AM45" i="23"/>
  <c r="BJ45" i="23" s="1"/>
  <c r="J64" i="22"/>
  <c r="AM47" i="23"/>
  <c r="BJ47" i="23" s="1"/>
  <c r="J66" i="22"/>
  <c r="AM49" i="23"/>
  <c r="BJ49" i="23" s="1"/>
  <c r="J68" i="22"/>
  <c r="AM57" i="23"/>
  <c r="BJ57" i="23" s="1"/>
  <c r="J76" i="22"/>
  <c r="AM59" i="23"/>
  <c r="BJ59" i="23" s="1"/>
  <c r="J78" i="22"/>
  <c r="AM61" i="23"/>
  <c r="BJ61" i="23" s="1"/>
  <c r="J80" i="22"/>
  <c r="AM63" i="23"/>
  <c r="BJ63" i="23" s="1"/>
  <c r="J82" i="22"/>
  <c r="AM66" i="23"/>
  <c r="BJ66" i="23" s="1"/>
  <c r="J85" i="22"/>
  <c r="AM69" i="23"/>
  <c r="BJ69" i="23" s="1"/>
  <c r="J88" i="22"/>
  <c r="AM71" i="23"/>
  <c r="BJ71" i="23" s="1"/>
  <c r="J90" i="22"/>
  <c r="AM73" i="23"/>
  <c r="BJ73" i="23" s="1"/>
  <c r="J92" i="22"/>
  <c r="AM79" i="23"/>
  <c r="BJ79" i="23" s="1"/>
  <c r="J98" i="22"/>
  <c r="AM81" i="23"/>
  <c r="BJ81" i="23" s="1"/>
  <c r="J100" i="22"/>
  <c r="AM84" i="23"/>
  <c r="BJ84" i="23" s="1"/>
  <c r="J103" i="22"/>
  <c r="AM86" i="23"/>
  <c r="BJ86" i="23" s="1"/>
  <c r="J105" i="22"/>
  <c r="AM88" i="23"/>
  <c r="BJ88" i="23" s="1"/>
  <c r="J107" i="22"/>
  <c r="AM92" i="23"/>
  <c r="BJ92" i="23" s="1"/>
  <c r="J111" i="22"/>
  <c r="AM94" i="23"/>
  <c r="BJ94" i="23" s="1"/>
  <c r="J113" i="22"/>
  <c r="AM96" i="23"/>
  <c r="BJ96" i="23" s="1"/>
  <c r="J115" i="22"/>
  <c r="AM100" i="23"/>
  <c r="BJ100" i="23" s="1"/>
  <c r="J119" i="22"/>
  <c r="AM104" i="23"/>
  <c r="BJ104" i="23" s="1"/>
  <c r="J123" i="22"/>
  <c r="AM106" i="23"/>
  <c r="BJ106" i="23" s="1"/>
  <c r="J125" i="22"/>
  <c r="AM6" i="23"/>
  <c r="BJ6" i="23" s="1"/>
  <c r="J25" i="22"/>
  <c r="AM8" i="23"/>
  <c r="BJ8" i="23" s="1"/>
  <c r="J27" i="22"/>
  <c r="AM10" i="23"/>
  <c r="BJ10" i="23" s="1"/>
  <c r="J29" i="22"/>
  <c r="AM13" i="23"/>
  <c r="BJ13" i="23" s="1"/>
  <c r="J32" i="22"/>
  <c r="AM15" i="23"/>
  <c r="BJ15" i="23" s="1"/>
  <c r="J34" i="22"/>
  <c r="AM17" i="23"/>
  <c r="BJ17" i="23" s="1"/>
  <c r="J36" i="22"/>
  <c r="AM21" i="23"/>
  <c r="BJ21" i="23" s="1"/>
  <c r="J40" i="22"/>
  <c r="AM23" i="23"/>
  <c r="BJ23" i="23" s="1"/>
  <c r="J42" i="22"/>
  <c r="AM25" i="23"/>
  <c r="BJ25" i="23" s="1"/>
  <c r="J44" i="22"/>
  <c r="AM27" i="23"/>
  <c r="BJ27" i="23" s="1"/>
  <c r="J46" i="22"/>
  <c r="AM30" i="23"/>
  <c r="BJ30" i="23" s="1"/>
  <c r="J49" i="22"/>
  <c r="AM32" i="23"/>
  <c r="BJ32" i="23" s="1"/>
  <c r="J51" i="22"/>
  <c r="AM34" i="23"/>
  <c r="BJ34" i="23" s="1"/>
  <c r="J53" i="22"/>
  <c r="AM38" i="23"/>
  <c r="BJ38" i="23" s="1"/>
  <c r="J57" i="22"/>
  <c r="AM40" i="23"/>
  <c r="BJ40" i="23" s="1"/>
  <c r="J59" i="22"/>
  <c r="AM42" i="23"/>
  <c r="BJ42" i="23" s="1"/>
  <c r="J61" i="22"/>
  <c r="AM44" i="23"/>
  <c r="BJ44" i="23" s="1"/>
  <c r="J63" i="22"/>
  <c r="AM46" i="23"/>
  <c r="BJ46" i="23" s="1"/>
  <c r="J65" i="22"/>
  <c r="AM48" i="23"/>
  <c r="BJ48" i="23" s="1"/>
  <c r="J67" i="22"/>
  <c r="AM50" i="23"/>
  <c r="BJ50" i="23" s="1"/>
  <c r="J69" i="22"/>
  <c r="AM55" i="23"/>
  <c r="BJ55" i="23" s="1"/>
  <c r="J74" i="22"/>
  <c r="AM58" i="23"/>
  <c r="BJ58" i="23" s="1"/>
  <c r="J77" i="22"/>
  <c r="AM60" i="23"/>
  <c r="BJ60" i="23" s="1"/>
  <c r="J79" i="22"/>
  <c r="AM62" i="23"/>
  <c r="BJ62" i="23" s="1"/>
  <c r="J81" i="22"/>
  <c r="AM64" i="23"/>
  <c r="BJ64" i="23" s="1"/>
  <c r="J83" i="22"/>
  <c r="AM68" i="23"/>
  <c r="BJ68" i="23" s="1"/>
  <c r="J87" i="22"/>
  <c r="AM70" i="23"/>
  <c r="BJ70" i="23" s="1"/>
  <c r="J89" i="22"/>
  <c r="AM72" i="23"/>
  <c r="BJ72" i="23" s="1"/>
  <c r="J91" i="22"/>
  <c r="AM78" i="23"/>
  <c r="BJ78" i="23" s="1"/>
  <c r="J97" i="22"/>
  <c r="AM80" i="23"/>
  <c r="BJ80" i="23" s="1"/>
  <c r="J99" i="22"/>
  <c r="AM83" i="23"/>
  <c r="BJ83" i="23" s="1"/>
  <c r="J102" i="22"/>
  <c r="AM85" i="23"/>
  <c r="BJ85" i="23" s="1"/>
  <c r="J104" i="22"/>
  <c r="AM87" i="23"/>
  <c r="BJ87" i="23" s="1"/>
  <c r="J106" i="22"/>
  <c r="AM91" i="23"/>
  <c r="BJ91" i="23" s="1"/>
  <c r="J110" i="22"/>
  <c r="AM93" i="23"/>
  <c r="BJ93" i="23" s="1"/>
  <c r="J112" i="22"/>
  <c r="AM95" i="23"/>
  <c r="BJ95" i="23" s="1"/>
  <c r="J114" i="22"/>
  <c r="AM99" i="23"/>
  <c r="BJ99" i="23" s="1"/>
  <c r="J118" i="22"/>
  <c r="AM105" i="23"/>
  <c r="BJ105" i="23" s="1"/>
  <c r="J124" i="22"/>
  <c r="E78" i="23"/>
  <c r="AK11" i="23"/>
  <c r="AK12" i="23"/>
  <c r="AK78" i="23"/>
  <c r="I6" i="23"/>
  <c r="I13" i="23"/>
  <c r="L129" i="17"/>
  <c r="L126" i="17"/>
  <c r="M126" i="16"/>
  <c r="M129" i="16"/>
  <c r="L126" i="15"/>
  <c r="L129" i="15"/>
  <c r="L129" i="14"/>
  <c r="L121" i="13"/>
  <c r="L121" i="12"/>
  <c r="AK3" i="23"/>
  <c r="G6" i="23"/>
  <c r="AK37" i="23"/>
  <c r="G12" i="23"/>
  <c r="G13" i="23"/>
  <c r="G15" i="23"/>
  <c r="G26" i="23"/>
  <c r="G31" i="23"/>
  <c r="G33" i="23"/>
  <c r="G35" i="23"/>
  <c r="G5" i="23"/>
  <c r="AK28" i="23"/>
  <c r="G14" i="23"/>
  <c r="G25" i="23"/>
  <c r="G30" i="23"/>
  <c r="G32" i="23"/>
  <c r="G34" i="23"/>
  <c r="S117" i="11"/>
  <c r="K117" i="22"/>
  <c r="S116" i="11"/>
  <c r="K116" i="22"/>
  <c r="L126" i="14"/>
  <c r="AQ107" i="23"/>
  <c r="AQ110" i="23"/>
  <c r="L120" i="13"/>
  <c r="L120" i="12"/>
  <c r="BO101" i="23"/>
  <c r="CK101" i="23" s="1"/>
  <c r="BO102" i="23"/>
  <c r="CK102" i="23" s="1"/>
  <c r="AK36" i="23"/>
  <c r="AK56" i="23"/>
  <c r="AK67" i="23"/>
  <c r="AK65" i="23"/>
  <c r="I15" i="23" l="1"/>
  <c r="I12" i="23"/>
  <c r="AO107" i="23"/>
  <c r="AO110" i="23"/>
  <c r="BI110" i="23" s="1"/>
  <c r="I129" i="19" s="1"/>
  <c r="BI107" i="23"/>
  <c r="I126" i="19" s="1"/>
  <c r="AM65" i="23"/>
  <c r="BJ65" i="23" s="1"/>
  <c r="J84" i="22"/>
  <c r="AM67" i="23"/>
  <c r="BJ67" i="23" s="1"/>
  <c r="J86" i="22"/>
  <c r="AM19" i="23"/>
  <c r="BJ19" i="23" s="1"/>
  <c r="J38" i="22"/>
  <c r="AM82" i="23"/>
  <c r="BJ82" i="23" s="1"/>
  <c r="J101" i="22"/>
  <c r="AM11" i="23"/>
  <c r="BJ11" i="23" s="1"/>
  <c r="J30" i="22"/>
  <c r="AM36" i="23"/>
  <c r="BJ36" i="23" s="1"/>
  <c r="J55" i="22"/>
  <c r="AM77" i="23"/>
  <c r="BJ77" i="23" s="1"/>
  <c r="J96" i="22"/>
  <c r="AM37" i="23"/>
  <c r="BJ37" i="23" s="1"/>
  <c r="J56" i="22"/>
  <c r="AM4" i="23"/>
  <c r="BJ4" i="23" s="1"/>
  <c r="J23" i="22"/>
  <c r="AM28" i="23"/>
  <c r="BJ28" i="23" s="1"/>
  <c r="J47" i="22"/>
  <c r="AM56" i="23"/>
  <c r="BJ56" i="23" s="1"/>
  <c r="J75" i="22"/>
  <c r="AK76" i="23"/>
  <c r="AK82" i="23"/>
  <c r="G24" i="23" s="1"/>
  <c r="AK19" i="23"/>
  <c r="G9" i="23" s="1"/>
  <c r="AK4" i="23"/>
  <c r="G4" i="23" s="1"/>
  <c r="G7" i="23" s="1"/>
  <c r="AK77" i="23"/>
  <c r="G23" i="23" s="1"/>
  <c r="I32" i="23"/>
  <c r="I35" i="23"/>
  <c r="I31" i="23"/>
  <c r="I26" i="23"/>
  <c r="I34" i="23"/>
  <c r="I30" i="23"/>
  <c r="I25" i="23"/>
  <c r="I33" i="23"/>
  <c r="I14" i="23"/>
  <c r="I5" i="23"/>
  <c r="L126" i="13"/>
  <c r="L129" i="13"/>
  <c r="L129" i="12"/>
  <c r="L126" i="12"/>
  <c r="G20" i="23"/>
  <c r="AK18" i="23"/>
  <c r="G10" i="23"/>
  <c r="S121" i="11"/>
  <c r="K121" i="22"/>
  <c r="S120" i="11"/>
  <c r="K120" i="22"/>
  <c r="AK51" i="23"/>
  <c r="I11" i="23" l="1"/>
  <c r="AI7" i="23"/>
  <c r="BH7" i="23" s="1"/>
  <c r="AI9" i="23"/>
  <c r="BH9" i="23" s="1"/>
  <c r="AI14" i="23"/>
  <c r="BH14" i="23" s="1"/>
  <c r="AI16" i="23"/>
  <c r="BH16" i="23" s="1"/>
  <c r="AI22" i="23"/>
  <c r="BH22" i="23" s="1"/>
  <c r="AI24" i="23"/>
  <c r="BH24" i="23" s="1"/>
  <c r="AI26" i="23"/>
  <c r="BH26" i="23" s="1"/>
  <c r="AI31" i="23"/>
  <c r="BH31" i="23" s="1"/>
  <c r="AI33" i="23"/>
  <c r="BH33" i="23" s="1"/>
  <c r="AI35" i="23"/>
  <c r="BH35" i="23" s="1"/>
  <c r="AI39" i="23"/>
  <c r="BH39" i="23" s="1"/>
  <c r="AI41" i="23"/>
  <c r="BH41" i="23" s="1"/>
  <c r="AI43" i="23"/>
  <c r="BH43" i="23" s="1"/>
  <c r="AI45" i="23"/>
  <c r="BH45" i="23" s="1"/>
  <c r="AI47" i="23"/>
  <c r="BH47" i="23" s="1"/>
  <c r="AI49" i="23"/>
  <c r="BH49" i="23" s="1"/>
  <c r="AI58" i="23"/>
  <c r="BH58" i="23" s="1"/>
  <c r="AI60" i="23"/>
  <c r="BH60" i="23" s="1"/>
  <c r="AI62" i="23"/>
  <c r="BH62" i="23" s="1"/>
  <c r="AI64" i="23"/>
  <c r="BH64" i="23" s="1"/>
  <c r="AI68" i="23"/>
  <c r="BH68" i="23" s="1"/>
  <c r="AI70" i="23"/>
  <c r="BH70" i="23" s="1"/>
  <c r="AI72" i="23"/>
  <c r="BH72" i="23" s="1"/>
  <c r="AI80" i="23"/>
  <c r="BH80" i="23" s="1"/>
  <c r="AI85" i="23"/>
  <c r="BH85" i="23" s="1"/>
  <c r="AI87" i="23"/>
  <c r="BH87" i="23" s="1"/>
  <c r="AI91" i="23"/>
  <c r="BH91" i="23" s="1"/>
  <c r="AI93" i="23"/>
  <c r="BH93" i="23" s="1"/>
  <c r="AI99" i="23"/>
  <c r="AI104" i="23"/>
  <c r="BH104" i="23" s="1"/>
  <c r="AI106" i="23"/>
  <c r="BH106" i="23" s="1"/>
  <c r="AI6" i="23"/>
  <c r="BH6" i="23" s="1"/>
  <c r="AI96" i="23"/>
  <c r="BH96" i="23" s="1"/>
  <c r="AI8" i="23"/>
  <c r="BH8" i="23" s="1"/>
  <c r="AI10" i="23"/>
  <c r="BH10" i="23" s="1"/>
  <c r="AI13" i="23"/>
  <c r="BH13" i="23" s="1"/>
  <c r="AI15" i="23"/>
  <c r="BH15" i="23" s="1"/>
  <c r="AI17" i="23"/>
  <c r="BH17" i="23" s="1"/>
  <c r="AI21" i="23"/>
  <c r="BH21" i="23" s="1"/>
  <c r="AI23" i="23"/>
  <c r="BH23" i="23" s="1"/>
  <c r="AI25" i="23"/>
  <c r="BH25" i="23" s="1"/>
  <c r="AI27" i="23"/>
  <c r="BH27" i="23" s="1"/>
  <c r="AI30" i="23"/>
  <c r="BH30" i="23" s="1"/>
  <c r="AI32" i="23"/>
  <c r="BH32" i="23" s="1"/>
  <c r="AI34" i="23"/>
  <c r="BH34" i="23" s="1"/>
  <c r="AI40" i="23"/>
  <c r="BH40" i="23" s="1"/>
  <c r="AI42" i="23"/>
  <c r="BH42" i="23" s="1"/>
  <c r="AI44" i="23"/>
  <c r="BH44" i="23" s="1"/>
  <c r="AI46" i="23"/>
  <c r="BH46" i="23" s="1"/>
  <c r="AI48" i="23"/>
  <c r="BH48" i="23" s="1"/>
  <c r="AI50" i="23"/>
  <c r="BH50" i="23" s="1"/>
  <c r="AI57" i="23"/>
  <c r="BH57" i="23" s="1"/>
  <c r="AI59" i="23"/>
  <c r="BH59" i="23" s="1"/>
  <c r="AI61" i="23"/>
  <c r="BH61" i="23" s="1"/>
  <c r="AI63" i="23"/>
  <c r="BH63" i="23" s="1"/>
  <c r="AI69" i="23"/>
  <c r="BH69" i="23" s="1"/>
  <c r="AI71" i="23"/>
  <c r="BH71" i="23" s="1"/>
  <c r="AI73" i="23"/>
  <c r="BH73" i="23" s="1"/>
  <c r="AI79" i="23"/>
  <c r="BH79" i="23" s="1"/>
  <c r="AI81" i="23"/>
  <c r="BH81" i="23" s="1"/>
  <c r="AI84" i="23"/>
  <c r="BH84" i="23" s="1"/>
  <c r="AI86" i="23"/>
  <c r="BH86" i="23" s="1"/>
  <c r="AI88" i="23"/>
  <c r="BH88" i="23" s="1"/>
  <c r="AI92" i="23"/>
  <c r="BH92" i="23" s="1"/>
  <c r="AI94" i="23"/>
  <c r="BH94" i="23" s="1"/>
  <c r="AI100" i="23"/>
  <c r="BH100" i="23" s="1"/>
  <c r="AI105" i="23"/>
  <c r="BH105" i="23" s="1"/>
  <c r="AI95" i="23"/>
  <c r="BH95" i="23" s="1"/>
  <c r="AI12" i="23"/>
  <c r="BH12" i="23" s="1"/>
  <c r="AI20" i="23"/>
  <c r="BH20" i="23" s="1"/>
  <c r="AI29" i="23"/>
  <c r="BH29" i="23" s="1"/>
  <c r="AI55" i="23"/>
  <c r="BH55" i="23" s="1"/>
  <c r="AI78" i="23"/>
  <c r="BH78" i="23" s="1"/>
  <c r="AI83" i="23"/>
  <c r="BH83" i="23" s="1"/>
  <c r="AI38" i="23"/>
  <c r="BH38" i="23" s="1"/>
  <c r="AI66" i="23"/>
  <c r="BH66" i="23" s="1"/>
  <c r="AI5" i="23"/>
  <c r="BH5" i="23" s="1"/>
  <c r="AK52" i="23"/>
  <c r="E48" i="23"/>
  <c r="E68" i="23"/>
  <c r="I10" i="23"/>
  <c r="I20" i="23"/>
  <c r="AM74" i="23"/>
  <c r="BJ74" i="23" s="1"/>
  <c r="J93" i="22"/>
  <c r="AM76" i="23"/>
  <c r="BJ76" i="23" s="1"/>
  <c r="J95" i="22"/>
  <c r="AM18" i="23"/>
  <c r="BJ18" i="23" s="1"/>
  <c r="J37" i="22"/>
  <c r="AM54" i="23"/>
  <c r="BJ54" i="23" s="1"/>
  <c r="J73" i="22"/>
  <c r="I4" i="23"/>
  <c r="I7" i="23" s="1"/>
  <c r="I9" i="23"/>
  <c r="G27" i="23"/>
  <c r="AK54" i="23"/>
  <c r="G19" i="23" s="1"/>
  <c r="G21" i="23" s="1"/>
  <c r="E6" i="23"/>
  <c r="E25" i="23"/>
  <c r="I24" i="23"/>
  <c r="I23" i="23"/>
  <c r="E31" i="23"/>
  <c r="E33" i="23"/>
  <c r="G11" i="23"/>
  <c r="G16" i="23" s="1"/>
  <c r="G17" i="23" s="1"/>
  <c r="AM3" i="23"/>
  <c r="BJ3" i="23" s="1"/>
  <c r="AK75" i="23"/>
  <c r="AK74" i="23"/>
  <c r="AI4" i="23"/>
  <c r="BH4" i="23" s="1"/>
  <c r="AK89" i="23"/>
  <c r="AK90" i="23"/>
  <c r="AI36" i="23"/>
  <c r="BH36" i="23" s="1"/>
  <c r="AI82" i="23"/>
  <c r="BH82" i="23" s="1"/>
  <c r="E32" i="23" l="1"/>
  <c r="E13" i="23"/>
  <c r="E5" i="23"/>
  <c r="BH99" i="23"/>
  <c r="E37" i="23"/>
  <c r="E30" i="23"/>
  <c r="E15" i="23"/>
  <c r="E12" i="23"/>
  <c r="E26" i="23"/>
  <c r="E14" i="23"/>
  <c r="AI28" i="23"/>
  <c r="BH28" i="23" s="1"/>
  <c r="AI11" i="23"/>
  <c r="BH11" i="23" s="1"/>
  <c r="AI56" i="23"/>
  <c r="BH56" i="23" s="1"/>
  <c r="AI19" i="23"/>
  <c r="BH19" i="23" s="1"/>
  <c r="AI67" i="23"/>
  <c r="BH67" i="23" s="1"/>
  <c r="AI37" i="23"/>
  <c r="BH37" i="23" s="1"/>
  <c r="AI77" i="23"/>
  <c r="BH77" i="23" s="1"/>
  <c r="E62" i="23"/>
  <c r="E57" i="23"/>
  <c r="E58" i="23" s="1"/>
  <c r="I16" i="23"/>
  <c r="I17" i="23" s="1"/>
  <c r="AM51" i="23"/>
  <c r="BJ51" i="23" s="1"/>
  <c r="J70" i="22"/>
  <c r="AM52" i="23"/>
  <c r="BJ52" i="23" s="1"/>
  <c r="J71" i="22"/>
  <c r="AM75" i="23"/>
  <c r="BJ75" i="23" s="1"/>
  <c r="J94" i="22"/>
  <c r="I19" i="23"/>
  <c r="I21" i="23" s="1"/>
  <c r="G28" i="23"/>
  <c r="G36" i="23" s="1"/>
  <c r="G38" i="23" s="1"/>
  <c r="G39" i="23" s="1"/>
  <c r="I27" i="23"/>
  <c r="E4" i="23"/>
  <c r="E35" i="23"/>
  <c r="E24" i="23"/>
  <c r="E34" i="23"/>
  <c r="AI65" i="23"/>
  <c r="BH65" i="23" s="1"/>
  <c r="AK98" i="23"/>
  <c r="AK97" i="23"/>
  <c r="AI18" i="23"/>
  <c r="BH18" i="23" s="1"/>
  <c r="E7" i="23" l="1"/>
  <c r="E10" i="23"/>
  <c r="AI76" i="23"/>
  <c r="BH76" i="23" s="1"/>
  <c r="E11" i="23"/>
  <c r="AI54" i="23"/>
  <c r="BH54" i="23" s="1"/>
  <c r="E69" i="23"/>
  <c r="E77" i="23" s="1"/>
  <c r="E79" i="23" s="1"/>
  <c r="AI3" i="23"/>
  <c r="BH3" i="23" s="1"/>
  <c r="AM89" i="23"/>
  <c r="BJ89" i="23" s="1"/>
  <c r="J108" i="22"/>
  <c r="AM90" i="23"/>
  <c r="BJ90" i="23" s="1"/>
  <c r="J109" i="22"/>
  <c r="I28" i="23"/>
  <c r="I36" i="23" s="1"/>
  <c r="I38" i="23" s="1"/>
  <c r="I39" i="23" s="1"/>
  <c r="E20" i="23"/>
  <c r="E9" i="23"/>
  <c r="E23" i="23"/>
  <c r="E27" i="23" s="1"/>
  <c r="AK102" i="23"/>
  <c r="AK101" i="23"/>
  <c r="AI51" i="23"/>
  <c r="BH51" i="23" s="1"/>
  <c r="AI74" i="23"/>
  <c r="BH74" i="23" s="1"/>
  <c r="AI52" i="23"/>
  <c r="BH52" i="23" s="1"/>
  <c r="AI75" i="23" l="1"/>
  <c r="BH75" i="23" s="1"/>
  <c r="E16" i="23"/>
  <c r="E17" i="23" s="1"/>
  <c r="AM101" i="23"/>
  <c r="BJ101" i="23" s="1"/>
  <c r="J120" i="22"/>
  <c r="AM98" i="23"/>
  <c r="BJ98" i="23" s="1"/>
  <c r="J117" i="22"/>
  <c r="AM97" i="23"/>
  <c r="BJ97" i="23" s="1"/>
  <c r="J116" i="22"/>
  <c r="E19" i="23"/>
  <c r="E21" i="23" s="1"/>
  <c r="AK110" i="23"/>
  <c r="AK107" i="23"/>
  <c r="AI90" i="23"/>
  <c r="BH90" i="23" s="1"/>
  <c r="AI89" i="23"/>
  <c r="BH89" i="23" s="1"/>
  <c r="AM107" i="23" l="1"/>
  <c r="BJ107" i="23" s="1"/>
  <c r="J126" i="22"/>
  <c r="AM102" i="23"/>
  <c r="BJ102" i="23" s="1"/>
  <c r="J121" i="22"/>
  <c r="E28" i="23"/>
  <c r="E36" i="23" s="1"/>
  <c r="E38" i="23" s="1"/>
  <c r="AI97" i="23"/>
  <c r="BH97" i="23" s="1"/>
  <c r="AI98" i="23"/>
  <c r="BH98" i="23" s="1"/>
  <c r="AM110" i="23" l="1"/>
  <c r="BJ110" i="23" s="1"/>
  <c r="J129" i="22"/>
  <c r="AI102" i="23"/>
  <c r="BH102" i="23" s="1"/>
  <c r="AI101" i="23"/>
  <c r="BH101" i="23" s="1"/>
  <c r="E39" i="23" l="1"/>
  <c r="AI110" i="23"/>
  <c r="BH110" i="23" s="1"/>
  <c r="AI107" i="23" l="1"/>
  <c r="BH107" i="23" s="1"/>
</calcChain>
</file>

<file path=xl/sharedStrings.xml><?xml version="1.0" encoding="utf-8"?>
<sst xmlns="http://schemas.openxmlformats.org/spreadsheetml/2006/main" count="4815" uniqueCount="427">
  <si>
    <t>Група рачуна, рачун</t>
  </si>
  <si>
    <t>ПОЗИЦИЈА</t>
  </si>
  <si>
    <t>АОП</t>
  </si>
  <si>
    <t>ИЗНОС</t>
  </si>
  <si>
    <t>Текућа година</t>
  </si>
  <si>
    <t>Претходна година</t>
  </si>
  <si>
    <t>1</t>
  </si>
  <si>
    <t>2</t>
  </si>
  <si>
    <t>3</t>
  </si>
  <si>
    <t>4</t>
  </si>
  <si>
    <t>А</t>
  </si>
  <si>
    <t xml:space="preserve">П О С Л О В Н И   П Р И Х О Д И    И                                                       Р А С Х О Д И </t>
  </si>
  <si>
    <t>I</t>
  </si>
  <si>
    <t>1.1. Обрачуната премија животних осигурања и саосигурања</t>
  </si>
  <si>
    <t>1.2. Обрачуната премија неживотних осигурања и саосигурања</t>
  </si>
  <si>
    <t>512 део и                     523 део</t>
  </si>
  <si>
    <t>1.3. Премија пренета у саосигурање - пасивна</t>
  </si>
  <si>
    <t>1.4. Премија пренета у реосигурање</t>
  </si>
  <si>
    <t>60 део и                     61 део</t>
  </si>
  <si>
    <t>602 део,                            614 и 615</t>
  </si>
  <si>
    <t>2.1. Обрачуната премија реосигурања и ретроцесија</t>
  </si>
  <si>
    <t>512 део и 523 део</t>
  </si>
  <si>
    <t>II</t>
  </si>
  <si>
    <t>500</t>
  </si>
  <si>
    <t>502</t>
  </si>
  <si>
    <t>1.3. Допринос за превентиву</t>
  </si>
  <si>
    <t>503</t>
  </si>
  <si>
    <t>504</t>
  </si>
  <si>
    <t>1.5. Допринос Гарантном фонду</t>
  </si>
  <si>
    <t>505</t>
  </si>
  <si>
    <t>1.6. Резервисања за изравнање ризика</t>
  </si>
  <si>
    <t>509</t>
  </si>
  <si>
    <t xml:space="preserve">2.1. Ликвидиране штете и уговорени износи животних осигурања </t>
  </si>
  <si>
    <t>2.2. Ликвидиране штете неживотних осигурања</t>
  </si>
  <si>
    <t>513 део и                  524 део</t>
  </si>
  <si>
    <t>2.3. Ликвидиране штете - удели у штетама саосигурања</t>
  </si>
  <si>
    <t>2.4. Ликвидиране штете - удели у штетама реосигурања и ретроцесија</t>
  </si>
  <si>
    <t>53 део, 54 део и 55 део</t>
  </si>
  <si>
    <t>2.5. Расходи извиђаја, процене, ликвидације и исплате накнада штета и уговорених износа</t>
  </si>
  <si>
    <t>2.6. Приходи од учешћа саосигурача у накнади штета</t>
  </si>
  <si>
    <t>515</t>
  </si>
  <si>
    <t>604 део</t>
  </si>
  <si>
    <t>526</t>
  </si>
  <si>
    <t>630</t>
  </si>
  <si>
    <t>516 и 527</t>
  </si>
  <si>
    <t>604 део и 632</t>
  </si>
  <si>
    <t>513 део</t>
  </si>
  <si>
    <t xml:space="preserve">3.7. Повећање резервисаних штета - удели саосигуравача, реосигуравача и ретроцесионара у штетама </t>
  </si>
  <si>
    <t xml:space="preserve">3.8. Смањење резервисаних штета - удела реосигуравача, односно ретроцесионара у штетама </t>
  </si>
  <si>
    <t>517 и 529</t>
  </si>
  <si>
    <t xml:space="preserve">5. Повећање осталих техничких резерви - нето </t>
  </si>
  <si>
    <t xml:space="preserve">6. Смањење осталих техничких резерви - нето </t>
  </si>
  <si>
    <t>518 и 528</t>
  </si>
  <si>
    <t>7. Расходи за бонусе и попусте</t>
  </si>
  <si>
    <t>III</t>
  </si>
  <si>
    <t>IV</t>
  </si>
  <si>
    <t>Б</t>
  </si>
  <si>
    <t>542 део</t>
  </si>
  <si>
    <t>1.1. Провизије</t>
  </si>
  <si>
    <t>53 део, 54 део, и 55 део</t>
  </si>
  <si>
    <t>1.2. Остали трошкови прибаве</t>
  </si>
  <si>
    <t>274</t>
  </si>
  <si>
    <t>1.3. Промена разграничених трошкова прибаве - повећање</t>
  </si>
  <si>
    <t>1.3. Промена разграничених трошкова прибаве - смањење</t>
  </si>
  <si>
    <t>530</t>
  </si>
  <si>
    <t>2.1. Амортизација</t>
  </si>
  <si>
    <t xml:space="preserve">54 део </t>
  </si>
  <si>
    <t>2.2. Трошкови материјала, енергије, услуга и нематеријални трошкови</t>
  </si>
  <si>
    <t>55 део</t>
  </si>
  <si>
    <t>2.3 Трошкови зарада, накнада зарада и остали лични трошкови</t>
  </si>
  <si>
    <t>2.4. Остали трошкови управе</t>
  </si>
  <si>
    <t>3. Остали трошкови спровођења осигурања</t>
  </si>
  <si>
    <t>605 и 651</t>
  </si>
  <si>
    <t xml:space="preserve">4. Провизија од реосигурања и ретроцесија </t>
  </si>
  <si>
    <t>66 део</t>
  </si>
  <si>
    <t xml:space="preserve">56 део </t>
  </si>
  <si>
    <t>V</t>
  </si>
  <si>
    <t>VI</t>
  </si>
  <si>
    <t>VII</t>
  </si>
  <si>
    <t>VIII</t>
  </si>
  <si>
    <t>69-59</t>
  </si>
  <si>
    <t>IX</t>
  </si>
  <si>
    <t>59-69</t>
  </si>
  <si>
    <t>X</t>
  </si>
  <si>
    <t>В</t>
  </si>
  <si>
    <t>Г</t>
  </si>
  <si>
    <t>Д</t>
  </si>
  <si>
    <t>1.  Порез на добитак</t>
  </si>
  <si>
    <t xml:space="preserve">2. Добитак по основу креирања одложених пореских средстава и смањења одложених пореских обавеза </t>
  </si>
  <si>
    <t>3. Губитак по основу смањења одложених пореских средстава и креирања одложених пореских обавеза</t>
  </si>
  <si>
    <t>Ђ</t>
  </si>
  <si>
    <t>Е</t>
  </si>
  <si>
    <t>Ж</t>
  </si>
  <si>
    <t>З</t>
  </si>
  <si>
    <t>ЗАРАДА ПО АКЦИЈИ</t>
  </si>
  <si>
    <t>У Београду</t>
  </si>
  <si>
    <t>Лице одговорно за састављање финансијског извештаја</t>
  </si>
  <si>
    <t>Законски заступник</t>
  </si>
  <si>
    <t>Дана _______________</t>
  </si>
  <si>
    <t>________________________________________</t>
  </si>
  <si>
    <t>____________________</t>
  </si>
  <si>
    <t>2.7. Приходи од учешћа реосигурања и ретроцесија у накнади штета</t>
  </si>
  <si>
    <t>ПОРЕЗ НА ДОБИТАК</t>
  </si>
  <si>
    <t>БИЛАНС УСПЕХА</t>
  </si>
  <si>
    <t>(у хиљадама динара)</t>
  </si>
  <si>
    <t>Напомена број</t>
  </si>
  <si>
    <t>1001</t>
  </si>
  <si>
    <t>1002</t>
  </si>
  <si>
    <t>1003</t>
  </si>
  <si>
    <t>1004</t>
  </si>
  <si>
    <t>1005</t>
  </si>
  <si>
    <t>1006</t>
  </si>
  <si>
    <t>1.5. Повећање резерви за преносне премије и резерви за неистекле ризике осигурања и саосигурања</t>
  </si>
  <si>
    <t>1.6. Смањење резерви за преносне премије и резерви за неистекле ризике осигурања и саосигурања</t>
  </si>
  <si>
    <t>1007</t>
  </si>
  <si>
    <t>1008</t>
  </si>
  <si>
    <t>1009</t>
  </si>
  <si>
    <t>1010</t>
  </si>
  <si>
    <t>1011</t>
  </si>
  <si>
    <t>1012</t>
  </si>
  <si>
    <t>1013</t>
  </si>
  <si>
    <t>3. Приходи од послова непосредно повезаних са пословима осигурања</t>
  </si>
  <si>
    <t>1014</t>
  </si>
  <si>
    <t>606, део 609, 650 и део 659</t>
  </si>
  <si>
    <t xml:space="preserve">4. Остали пословни приходи  </t>
  </si>
  <si>
    <t>део 609, 639, 64, део 653, 655, део 659</t>
  </si>
  <si>
    <t>1015</t>
  </si>
  <si>
    <t>1016</t>
  </si>
  <si>
    <t>1017</t>
  </si>
  <si>
    <t>1.1. Математичка резерва животних осигурања - повећање</t>
  </si>
  <si>
    <t>1018</t>
  </si>
  <si>
    <t>1.2. Математичка резерва неживотних осигурања - повећање</t>
  </si>
  <si>
    <t>1019</t>
  </si>
  <si>
    <t>506</t>
  </si>
  <si>
    <t>1020</t>
  </si>
  <si>
    <t>1.4. Доприноси прописани посебним законима</t>
  </si>
  <si>
    <t>1021</t>
  </si>
  <si>
    <t>1022</t>
  </si>
  <si>
    <t>1023</t>
  </si>
  <si>
    <t>507</t>
  </si>
  <si>
    <t>1.7. Резервисања за осигурања код којих су осигураници прихватили да учествују у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</si>
  <si>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</si>
  <si>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</si>
  <si>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</si>
  <si>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1026</t>
  </si>
  <si>
    <t>510</t>
  </si>
  <si>
    <t>1027</t>
  </si>
  <si>
    <t>520</t>
  </si>
  <si>
    <t>1028</t>
  </si>
  <si>
    <t>1029</t>
  </si>
  <si>
    <t>1030</t>
  </si>
  <si>
    <t>1031</t>
  </si>
  <si>
    <t>1032</t>
  </si>
  <si>
    <t>603 део, 620, 621</t>
  </si>
  <si>
    <t>1033</t>
  </si>
  <si>
    <t>603 део, 622, 623, 624, 625</t>
  </si>
  <si>
    <t>1034</t>
  </si>
  <si>
    <t>1035</t>
  </si>
  <si>
    <t>3.1. Резервисане штете животних осигурања - повећање</t>
  </si>
  <si>
    <t>3.2. Резервисане штете животних осигурања - смањење</t>
  </si>
  <si>
    <t>3.3. Резервисане штете неживотних осигурања - повећање</t>
  </si>
  <si>
    <t>3.4. Резервисане штете неживотних осигурања - смањење</t>
  </si>
  <si>
    <t>3.5. Резервисане штете саосигурања, реосигурања и ретроцесија - повећање</t>
  </si>
  <si>
    <t>3.6. Резервисане штете саосигурања, реосигурања и ретроцесија - смањење</t>
  </si>
  <si>
    <t>635</t>
  </si>
  <si>
    <t>1036</t>
  </si>
  <si>
    <t>1037</t>
  </si>
  <si>
    <t>1038</t>
  </si>
  <si>
    <t>1039</t>
  </si>
  <si>
    <t>1040</t>
  </si>
  <si>
    <t>1041</t>
  </si>
  <si>
    <t>1042</t>
  </si>
  <si>
    <t>1043</t>
  </si>
  <si>
    <t>4. Приходи по основу регреса и продаје осигураних оштећених ствари</t>
  </si>
  <si>
    <t>1044</t>
  </si>
  <si>
    <t>604 део, 631, 633 и 638</t>
  </si>
  <si>
    <t>1045</t>
  </si>
  <si>
    <t>1046</t>
  </si>
  <si>
    <t>1047</t>
  </si>
  <si>
    <t xml:space="preserve">8. Остали пословни расходи </t>
  </si>
  <si>
    <t>1048</t>
  </si>
  <si>
    <t>51 део и 52 део</t>
  </si>
  <si>
    <t>1049</t>
  </si>
  <si>
    <t>1050</t>
  </si>
  <si>
    <t>1051</t>
  </si>
  <si>
    <t>660, 661,665, део 672</t>
  </si>
  <si>
    <r>
      <t xml:space="preserve">1. </t>
    </r>
    <r>
      <rPr>
        <sz val="8"/>
        <color indexed="8"/>
        <rFont val="Arial Narrow"/>
        <family val="2"/>
        <charset val="238"/>
      </rPr>
      <t>Приходи од зависних и придружених правних лица и од заједничких подухвата</t>
    </r>
  </si>
  <si>
    <t>1052</t>
  </si>
  <si>
    <t>2. Приходи од улагања у непокретности (1054+1055+1056)</t>
  </si>
  <si>
    <t>2.1.Приходи од закупнина инвестиционих некретнина</t>
  </si>
  <si>
    <t>1053</t>
  </si>
  <si>
    <t>1054</t>
  </si>
  <si>
    <t>део 608, део 653</t>
  </si>
  <si>
    <t>2.2. Приходи од усклађивања вредности инвестиционих некретнина</t>
  </si>
  <si>
    <t>део 681</t>
  </si>
  <si>
    <t>1055</t>
  </si>
  <si>
    <t>2.3. Приходи од продаје непокретности (дезинвестирања)</t>
  </si>
  <si>
    <t>1056</t>
  </si>
  <si>
    <t>део 670</t>
  </si>
  <si>
    <t>3. Приходи од камата</t>
  </si>
  <si>
    <t>1057</t>
  </si>
  <si>
    <t>део 662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</si>
  <si>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</si>
  <si>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</si>
  <si>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део 683, део 686, део 687</t>
  </si>
  <si>
    <t>5. Добици од продаје хартија од вредности</t>
  </si>
  <si>
    <t>део 672</t>
  </si>
  <si>
    <t>1059</t>
  </si>
  <si>
    <t>6. Позитивне курсне разлике из активности инвестирања</t>
  </si>
  <si>
    <t>1060</t>
  </si>
  <si>
    <t>део 663</t>
  </si>
  <si>
    <t>7. Остали приходи по основу инвестиционе активности</t>
  </si>
  <si>
    <t>део 671, део 679, део 682, део 686, део 689</t>
  </si>
  <si>
    <t>1061</t>
  </si>
  <si>
    <t>1062</t>
  </si>
  <si>
    <t>1.Расходи из односа са зависним и придруженим правним лицима и из заједничких подухвата</t>
  </si>
  <si>
    <t>560, 561, 565, део  572</t>
  </si>
  <si>
    <t>1063</t>
  </si>
  <si>
    <t>1064</t>
  </si>
  <si>
    <t>2.1.Расходи по основу обезвређења инвестиционих некретнина</t>
  </si>
  <si>
    <t>1065</t>
  </si>
  <si>
    <t>део 581</t>
  </si>
  <si>
    <t>2.2. Губици при продаји непокретности (дезинвестирању)</t>
  </si>
  <si>
    <t>1066</t>
  </si>
  <si>
    <t>део 570</t>
  </si>
  <si>
    <t>део 583, део 586, део 587</t>
  </si>
  <si>
    <t>1067</t>
  </si>
  <si>
    <t>део 572</t>
  </si>
  <si>
    <t>1068</t>
  </si>
  <si>
    <t>1069</t>
  </si>
  <si>
    <t>део 563</t>
  </si>
  <si>
    <t>део 571, део 579, део 582, део 586, део 589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</si>
  <si>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</si>
  <si>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</si>
  <si>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</si>
  <si>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</si>
  <si>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</si>
  <si>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</si>
  <si>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</si>
  <si>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</si>
  <si>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</si>
  <si>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</si>
  <si>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</si>
  <si>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</si>
  <si>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</si>
  <si>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</si>
  <si>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</si>
  <si>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</si>
  <si>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</si>
  <si>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</si>
  <si>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ФИНАНСИЈСКИ ПРИХОДИ осим финансијских прихода по основу инвестиционе активности</t>
  </si>
  <si>
    <t>1088</t>
  </si>
  <si>
    <t>ФИНАНСИЈСКИ РАСХОДИ осим финансијских расхода по основу инвестиционе активности</t>
  </si>
  <si>
    <t>1089</t>
  </si>
  <si>
    <t>део 68</t>
  </si>
  <si>
    <t>ПРИХОДИ ОД УСКЛАЂИВАЊА ВРЕДНОСТИ ПОТРАЖИВАЊА И ДРУГЕ ИМОВИНЕ КОЈА СЛУЖИ ЗА ОБАВЉАЊЕ ДЕЛАТНОСТИ</t>
  </si>
  <si>
    <t>1090</t>
  </si>
  <si>
    <t>део 58</t>
  </si>
  <si>
    <t>РАСХОДИ ПО ОСНОВУ ОБЕЗВРЕЂЕЊА ПОТРАЖИВАЊА И ДРУГЕ ИМОВИНЕ КОЈА СЛУЖИ ЗА ОБАВЉАЊЕ ДЕЛАТНОСТИ</t>
  </si>
  <si>
    <t>1091</t>
  </si>
  <si>
    <t>ОСТАЛИ ПРИХОДИ</t>
  </si>
  <si>
    <t>ОСТАЛИ РАСХОДИ</t>
  </si>
  <si>
    <t>1092</t>
  </si>
  <si>
    <t>1093</t>
  </si>
  <si>
    <t>део 67</t>
  </si>
  <si>
    <t>део 57</t>
  </si>
  <si>
    <t>НЕТО ДОБИТАК ПОСЛОВАЊА КОЈЕ СЕ ОБУСТАВЉА, ПОЗИТИВНИ ЕФЕКТИ ПРОМЕНЕ РАЧУНОВОДСТВЕНИХ ПОЛИТИКА И ИСПРАВКИ ГРЕШАКА ИЗ РАНИЈИХ ПЕРИОДА</t>
  </si>
  <si>
    <t>1094</t>
  </si>
  <si>
    <t>1095</t>
  </si>
  <si>
    <t>1096</t>
  </si>
  <si>
    <t>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</si>
  <si>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</si>
  <si>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1. Нето добитак који припада мањинским улагачима</t>
  </si>
  <si>
    <t>2. Нето добитак који припада већинском власнику</t>
  </si>
  <si>
    <t>1. Нето губитак који се приписује мањинским улагачима</t>
  </si>
  <si>
    <t>2. Нето губитак који се приписује већинском власнику</t>
  </si>
  <si>
    <t>1.   Основна зарада по акцији (у динарима без пара)</t>
  </si>
  <si>
    <t>2.   Умањена (разводњена) зарада по акцији (у динарима без пара)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</si>
  <si>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</si>
  <si>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</si>
  <si>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</si>
  <si>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</si>
  <si>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</si>
  <si>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</si>
  <si>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</si>
  <si>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</si>
  <si>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</si>
  <si>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</si>
  <si>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</si>
  <si>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</si>
  <si>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</si>
  <si>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ПОСЛОВНИ  (ФУНКЦИОНАЛНИ) ПРИХОДИ                                                                                                   (1002+1009+1014+1015)</t>
  </si>
  <si>
    <t>1. Приходи од премија осигурања и саосигурања                                                            (1003+1004-1005-1006-1007+1008)</t>
  </si>
  <si>
    <t>2. Приходи од премија реосигурања и ретроцесија                                                            (1010-1011-1012+1013)</t>
  </si>
  <si>
    <t>ПОСЛОВНИ (ФУНКЦИОНАЛНИ) РАСХОДИ                                              (1017+1026+1034-1035-1044+1045-1046+1047+1048)</t>
  </si>
  <si>
    <t>1. Расходи за дугорочна резервисања и функционалне доприносе (1018+1019+1020+1021+1022+1023+1024+1025)</t>
  </si>
  <si>
    <t>2. Расходи накнада штета и уговорених износа                            (1027+1028+1029+1030+1031-1032-1033)</t>
  </si>
  <si>
    <t>3. Резервисане штете - повећање                                                  (1036-1037+1038-1039+1040-1041+1042-1043) &gt; 0</t>
  </si>
  <si>
    <t>3. Резервисане штете - смањење                                               (1036-1037+1038-1039+1040-1041+1042-1043) &lt; 0</t>
  </si>
  <si>
    <t>ДОБИТ - БРУТО ПОСЛОВНИ РЕЗУЛТАТ (1001-1016)</t>
  </si>
  <si>
    <t>ГУБИТАК - БРУТО ПОСЛОВНИ РЕЗУЛТАТ (1016-1001)</t>
  </si>
  <si>
    <t>П Р И Х О Д И   И   Р А С Х О Д И   П О   О С Н О В У                   И Н В Е С Т И Ц И О Н Е    А К Т И В Н О С Т И</t>
  </si>
  <si>
    <t>ПРИХОДИ ОД ИНВЕСТИРАЊА СРЕДСТАВА ОСИГУРАЊА (1052+1053+1057+1058+1059+1060+1061)</t>
  </si>
  <si>
    <t>РАСХОДИ ПО ОСНОВУ ИНВЕСТИРАЊА СРЕДСТАВА ОСИГУРАЊА (1063+1064+1067+1068+1069+1070)</t>
  </si>
  <si>
    <t>2. Расходи по основу улагања у непокретности (1065+1066)</t>
  </si>
  <si>
    <t>ДОБИТАК ИЗ ИНВЕСТИЦИОНЕ АКТИВНОСТИ (1051-1062)</t>
  </si>
  <si>
    <t>ГУБИТАК ИЗ ИНВЕСТИЦИОНЕ АКТИВНОСТИ (1062-1051)</t>
  </si>
  <si>
    <t>ТРОШКОВИ СПРОВОЂЕЊА ОСИГУРАЊА                                   (1074+1079+1084-1085)</t>
  </si>
  <si>
    <t>1. Трошкови прибаве (1075+1076-1077+1078)</t>
  </si>
  <si>
    <t>2. Трошкови управе (1080+1081+1082+1083)</t>
  </si>
  <si>
    <r>
      <t xml:space="preserve">ПОСЛОВНА ДОБИТ - НЕТО ПОСЛОВНИ РЕЗУЛТАТ                     (1049+1071-1050-1072-1073) </t>
    </r>
    <r>
      <rPr>
        <b/>
        <sz val="8"/>
        <color indexed="8"/>
        <rFont val="Arial"/>
        <family val="2"/>
        <charset val="238"/>
      </rPr>
      <t xml:space="preserve">≥ </t>
    </r>
    <r>
      <rPr>
        <b/>
        <sz val="8"/>
        <color indexed="8"/>
        <rFont val="Arial Narrow"/>
        <family val="2"/>
        <charset val="238"/>
      </rPr>
      <t>0</t>
    </r>
  </si>
  <si>
    <r>
      <t xml:space="preserve">ПОСЛОВНИ ГУБИТАК - НЕТО ПОСЛОВНИ РЕЗУЛТАТ              (1049+1071-1050-1072-1073) </t>
    </r>
    <r>
      <rPr>
        <b/>
        <sz val="8"/>
        <color indexed="8"/>
        <rFont val="Arial"/>
        <family val="2"/>
        <charset val="238"/>
      </rPr>
      <t>≤</t>
    </r>
    <r>
      <rPr>
        <b/>
        <sz val="8"/>
        <color indexed="8"/>
        <rFont val="Arial Narrow"/>
        <family val="2"/>
        <charset val="238"/>
      </rPr>
      <t xml:space="preserve"> 0</t>
    </r>
  </si>
  <si>
    <r>
      <t xml:space="preserve">ДОБИТАК ИЗ РЕДОВНОГ ПОСЛОВАЊА ПРЕ ОПОРЕЗИВАЊА  (1086+1088+1090+1092-1087-1089-1091-1093) </t>
    </r>
    <r>
      <rPr>
        <b/>
        <sz val="8"/>
        <color indexed="8"/>
        <rFont val="Arial"/>
        <family val="2"/>
        <charset val="238"/>
      </rPr>
      <t>≥</t>
    </r>
    <r>
      <rPr>
        <b/>
        <sz val="8"/>
        <color indexed="8"/>
        <rFont val="Arial Narrow"/>
        <family val="2"/>
        <charset val="238"/>
      </rPr>
      <t xml:space="preserve"> 0</t>
    </r>
  </si>
  <si>
    <r>
      <t xml:space="preserve">ГУБИТАК ИЗ РЕДОВНОГ ПОСЛОВАЊА ПРЕ ОПОРЕЗИВАЊА (1086+1088+1090+1092-1087-1089-1091-1093) </t>
    </r>
    <r>
      <rPr>
        <b/>
        <sz val="8"/>
        <color indexed="8"/>
        <rFont val="Arial"/>
        <family val="2"/>
        <charset val="238"/>
      </rPr>
      <t>≤</t>
    </r>
    <r>
      <rPr>
        <b/>
        <sz val="8"/>
        <color indexed="8"/>
        <rFont val="Arial Narrow"/>
        <family val="2"/>
        <charset val="238"/>
      </rPr>
      <t xml:space="preserve"> 0</t>
    </r>
  </si>
  <si>
    <t>XI</t>
  </si>
  <si>
    <t>XII</t>
  </si>
  <si>
    <t>ДОБИТАК ПРЕ ОПОРЕЗИВАЊА                                                            (1094+1096-1095-1097)</t>
  </si>
  <si>
    <t>ГУБИТАК ПРЕ ОПОРЕЗИВАЊА                                               (1095+1097-1094-1096)</t>
  </si>
  <si>
    <t>НЕТО ДОБИТАК     (1098-1099-1100+1101-1102)</t>
  </si>
  <si>
    <t>НЕТО ГУБИТАК      (1099-1098+1100-1101+1102)</t>
  </si>
  <si>
    <t>600,                        602 (део)</t>
  </si>
  <si>
    <t>610, 613</t>
  </si>
  <si>
    <t>607, 652, 654 и део 673</t>
  </si>
  <si>
    <t>2.2. Премија пренета ретроцесијом реосигурања и ретроцесија</t>
  </si>
  <si>
    <t>2.3. Повећање резерви за преносне премије и резерви за неистекле ризике реосигурања и ретроцесија</t>
  </si>
  <si>
    <t>2.4. Смањење резерви за преносне премије и резерви за неистекле ризике реосигурања и ретроцесија</t>
  </si>
  <si>
    <t>3. Расходи по основу усклађивања вредности финансијских средстава која се исказују по фер вредности кроз биланс успеха</t>
  </si>
  <si>
    <t>4. Губици при продаји хартија од вредности</t>
  </si>
  <si>
    <t>5. Негативне курсне разлике из активности инвестирања</t>
  </si>
  <si>
    <t>6. Остали расходи по основу инвестиционе активности</t>
  </si>
  <si>
    <t>0</t>
  </si>
  <si>
    <t>у периоду од 01.01.  до 31.12.2015.  године</t>
  </si>
  <si>
    <t>Zvanično predat</t>
  </si>
  <si>
    <t>Razlika</t>
  </si>
  <si>
    <t>provera (život+neživot)</t>
  </si>
  <si>
    <t>1098/1099</t>
  </si>
  <si>
    <t>ДОБИТАК ПРЕ ОПОРЕЗИВАЊА</t>
  </si>
  <si>
    <t>1096/1097</t>
  </si>
  <si>
    <t>НЕТО ДОБИТАК/(ГУБИТАК) ПОСЛОВАЊА КОЈЕ СЕ ОБУСТАВЉА</t>
  </si>
  <si>
    <t>АОП 1094/1095</t>
  </si>
  <si>
    <t>АОП 1093</t>
  </si>
  <si>
    <t>Остали расходи</t>
  </si>
  <si>
    <t>АОП 1092</t>
  </si>
  <si>
    <t>Остали приходи</t>
  </si>
  <si>
    <t>АОП 1091</t>
  </si>
  <si>
    <t>Расходи по основу обезвређења потраживања и друге имовине која служи за обављање делатности</t>
  </si>
  <si>
    <t>АОП 1090</t>
  </si>
  <si>
    <t>Приходи од усклађивања вредности потраживања и друге имовине која служи за обављање делатности</t>
  </si>
  <si>
    <t>АОП 1089</t>
  </si>
  <si>
    <t>АОП 1088</t>
  </si>
  <si>
    <t>ФИНАНСИЈСКИ И ОСТАЛИ ПРИХОДИ/(РАСХОДИ)</t>
  </si>
  <si>
    <t>АОП 1086/1087</t>
  </si>
  <si>
    <t>АОП 1073</t>
  </si>
  <si>
    <t>аоп  1085</t>
  </si>
  <si>
    <t>Провизија од реосигурања и ретроцесија</t>
  </si>
  <si>
    <t>АОП 1084</t>
  </si>
  <si>
    <t>Остали трошкови спровођења осигурања</t>
  </si>
  <si>
    <t>АОП 1079</t>
  </si>
  <si>
    <t>Трошкови управе</t>
  </si>
  <si>
    <t>АОП 1074</t>
  </si>
  <si>
    <t>Трошкови прибаве</t>
  </si>
  <si>
    <t>ТРОШКОВИ СПРОВОЂЕЊА ОСИГУРАЊА</t>
  </si>
  <si>
    <t>АОП 1071/1072</t>
  </si>
  <si>
    <t>Добитак/(губитак) из инвестиционе активности</t>
  </si>
  <si>
    <t>АОП 1062</t>
  </si>
  <si>
    <t>Расходи по основу инвестирања средсрава осигурања</t>
  </si>
  <si>
    <t>АОП 1051</t>
  </si>
  <si>
    <t>Приходи од инвестирања средстава осигурања</t>
  </si>
  <si>
    <t>ПРИХОДИ И РАСХОДИ ПО ОСНОВУ ИНВЕСТИЦИОНЕ АКТИВНОСТИ</t>
  </si>
  <si>
    <t>АОП 1049</t>
  </si>
  <si>
    <t>Добитак – бруто пословни резултат</t>
  </si>
  <si>
    <t>АОП 1016</t>
  </si>
  <si>
    <t>АОП 1048</t>
  </si>
  <si>
    <t>Остали пословни приходи</t>
  </si>
  <si>
    <t>АОП 1047</t>
  </si>
  <si>
    <t>Расходи за бонусе и попусте</t>
  </si>
  <si>
    <t>АОП 1046</t>
  </si>
  <si>
    <t>Смањење осталих техничких резерви – нето</t>
  </si>
  <si>
    <t>АОП 1044</t>
  </si>
  <si>
    <t>Приходи по основу регреса и продаје осигураних оштећених ствари</t>
  </si>
  <si>
    <t>АОП 1034/1035</t>
  </si>
  <si>
    <t xml:space="preserve">Резервисане штете </t>
  </si>
  <si>
    <t>АОП 1026</t>
  </si>
  <si>
    <t xml:space="preserve">Расходи накнада штета и уговорених износа </t>
  </si>
  <si>
    <t>АОП 1017</t>
  </si>
  <si>
    <t xml:space="preserve">Расходи за дугорочна резервисања и функционалне доприносе </t>
  </si>
  <si>
    <t>АОП 1001</t>
  </si>
  <si>
    <t>АОП 1015</t>
  </si>
  <si>
    <t>АОП 1014</t>
  </si>
  <si>
    <t>Приходи од послова непосредно повезаних са пословима осигурања</t>
  </si>
  <si>
    <t>АОП 1002</t>
  </si>
  <si>
    <t xml:space="preserve">Приходи од премија осигурања и саосигурања </t>
  </si>
  <si>
    <t>Имовина</t>
  </si>
  <si>
    <t>41. ИЗВЕШТАВАЊЕ ПО СЕГМЕНТИМА (наставак)</t>
  </si>
  <si>
    <t>ДОБИТАК/ (ГУБИТАК) ИЗ РЕДОВНОГ ПОСЛОВАЊА ПРЕ ОПОРЕЗИВАЊА</t>
  </si>
  <si>
    <t>Пословни добитак/ (губитак) – нето пословни резултат</t>
  </si>
  <si>
    <t>41. ИЗВЕШТАВАЊЕ ПО СЕГМЕНТИМА</t>
  </si>
  <si>
    <t>Осигур.  живота</t>
  </si>
  <si>
    <t>Животна осигур. осим осигур. жуивота</t>
  </si>
  <si>
    <t>Незгода и добровољно здр.</t>
  </si>
  <si>
    <t>Возила</t>
  </si>
  <si>
    <t>Пловни објекти и транспорт</t>
  </si>
  <si>
    <t>Ваздухоп.</t>
  </si>
  <si>
    <t>Одговорност</t>
  </si>
  <si>
    <t>Кредити и јемства</t>
  </si>
  <si>
    <t>Остало</t>
  </si>
  <si>
    <t>Неживотна осигур. збирно</t>
  </si>
  <si>
    <t>Животна осигур. збирно</t>
  </si>
  <si>
    <t>УКУПНО</t>
  </si>
  <si>
    <t>AOP</t>
  </si>
  <si>
    <t>1071/1072</t>
  </si>
  <si>
    <t>1086/1087</t>
  </si>
  <si>
    <t>1094/1095</t>
  </si>
  <si>
    <t>Kontrola</t>
  </si>
  <si>
    <t xml:space="preserve">Финансијски приходи </t>
  </si>
  <si>
    <t>Финансијски расходи</t>
  </si>
  <si>
    <t>ПОСЛОВНИ  ПРИХОДИ</t>
  </si>
  <si>
    <t>ПОСЛОВНИ  РАСХОДИ</t>
  </si>
  <si>
    <t>УКУПНО 31.12.2015.</t>
  </si>
  <si>
    <t>1. Приходи од зависних и придружених правних лица и од заједничких подухвата</t>
  </si>
  <si>
    <t>ПОСЛОВНА ДОБИТ - НЕТО ПОСЛОВНИ РЕЗУЛТАТ                     (1049+1071-1050-1072-1073) ≥ 0</t>
  </si>
  <si>
    <t>ПОСЛОВНИ ГУБИТАК - НЕТО ПОСЛОВНИ РЕЗУЛТАТ              (1049+1071-1050-1072-1073) ≤ 0</t>
  </si>
  <si>
    <t>ДОБИТАК ИЗ РЕДОВНОГ ПОСЛОВАЊА ПРЕ ОПОРЕЗИВАЊА  (1086+1088+1090+1092-1087-1089-1091-1093) ≥ 0</t>
  </si>
  <si>
    <t>ГУБИТАК ИЗ РЕДОВНОГ ПОСЛОВАЊА ПРЕ ОПОРЕЗИВАЊА (1086+1088+1090+1092-1087-1089-1091-1093) ≤ 0</t>
  </si>
  <si>
    <t>Kontrola život</t>
  </si>
  <si>
    <t>Kontrola neživot</t>
  </si>
  <si>
    <t>Kontrola 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</si>
</sst>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_);_(@_)"/>
  </numFmts>
  <fonts count="64">
    <font>
      <sz val="10"/>
      <name val="Arial"/>
      <charset val="238"/>
    </font>
    <font>
      <sz val="8"/>
      <name val="Cirilica Times"/>
      <family val="1"/>
    </font>
    <font>
      <sz val="9"/>
      <name val="Cirilica Times"/>
      <family val="1"/>
    </font>
    <font>
      <sz val="9"/>
      <name val="Times New Roman"/>
      <family val="1"/>
    </font>
    <font>
      <sz val="10"/>
      <name val="Cirilica Times"/>
      <family val="1"/>
    </font>
    <font>
      <b/>
      <sz val="11"/>
      <name val="Cirilica Times"/>
      <family val="1"/>
    </font>
    <font>
      <b/>
      <sz val="10"/>
      <name val="Cirilica Times"/>
      <family val="1"/>
    </font>
    <font>
      <sz val="10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18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1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i/>
      <sz val="9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name val="Zurich LtCn BT"/>
      <family val="2"/>
    </font>
    <font>
      <b/>
      <sz val="10"/>
      <name val="Zurich LtCn BT"/>
      <family val="2"/>
    </font>
    <font>
      <sz val="10"/>
      <color indexed="8"/>
      <name val="Cirilica Times"/>
      <family val="1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name val="Cirilica Times"/>
      <family val="1"/>
    </font>
    <font>
      <b/>
      <sz val="10"/>
      <color indexed="8"/>
      <name val="Arial Narrow"/>
      <family val="2"/>
      <charset val="238"/>
    </font>
    <font>
      <b/>
      <sz val="8"/>
      <color indexed="8"/>
      <name val="Arial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Zurich LtCn BT"/>
      <charset val="238"/>
    </font>
    <font>
      <b/>
      <sz val="12"/>
      <color rgb="FFFF0000"/>
      <name val="Cirilica Times"/>
      <charset val="238"/>
    </font>
    <font>
      <sz val="10"/>
      <name val="Arial"/>
      <family val="2"/>
      <charset val="238"/>
    </font>
    <font>
      <sz val="12"/>
      <color rgb="FFFF0000"/>
      <name val="Cirilica Times"/>
      <charset val="238"/>
    </font>
    <font>
      <sz val="10"/>
      <color rgb="FFFF0000"/>
      <name val="Cirilica Times"/>
      <family val="1"/>
    </font>
    <font>
      <b/>
      <sz val="10"/>
      <color rgb="FFFF0000"/>
      <name val="Cirilica Times"/>
      <family val="1"/>
    </font>
    <font>
      <b/>
      <sz val="10"/>
      <name val="Zurich LtCn BT"/>
      <charset val="238"/>
    </font>
    <font>
      <sz val="10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Cirilica Times"/>
      <charset val="238"/>
    </font>
    <font>
      <b/>
      <sz val="9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9"/>
      <name val="Arial Narrow"/>
      <family val="2"/>
      <charset val="238"/>
    </font>
    <font>
      <b/>
      <sz val="8"/>
      <name val="Arial"/>
      <family val="2"/>
      <charset val="238"/>
    </font>
    <font>
      <sz val="10"/>
      <color rgb="FF7030A0"/>
      <name val="Cirilica Times"/>
      <family val="1"/>
    </font>
    <font>
      <sz val="10"/>
      <color rgb="FF7030A0"/>
      <name val="Arial Narrow"/>
      <family val="2"/>
      <charset val="238"/>
    </font>
    <font>
      <sz val="8"/>
      <name val="Arial"/>
      <family val="2"/>
      <charset val="238"/>
    </font>
    <font>
      <sz val="8"/>
      <color rgb="FF7030A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theme="0"/>
      <name val="Zurich LtCn BT"/>
      <family val="2"/>
    </font>
    <font>
      <sz val="10"/>
      <color theme="0"/>
      <name val="Zurich LtCn BT"/>
      <family val="2"/>
    </font>
    <font>
      <sz val="10"/>
      <color theme="0"/>
      <name val="Cirilica Times"/>
      <family val="1"/>
    </font>
    <font>
      <b/>
      <sz val="14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0"/>
      <color rgb="FFFF0000"/>
      <name val="Zurich LtCn BT"/>
      <family val="2"/>
    </font>
    <font>
      <b/>
      <sz val="10"/>
      <color rgb="FFFF0000"/>
      <name val="Zurich LtCn BT"/>
      <family val="2"/>
    </font>
    <font>
      <sz val="10"/>
      <color rgb="FFFF0000"/>
      <name val="Zurich LtCn BT"/>
      <charset val="238"/>
    </font>
    <font>
      <sz val="9"/>
      <name val="Arial Narrow"/>
      <family val="2"/>
      <charset val="238"/>
    </font>
    <font>
      <b/>
      <sz val="10"/>
      <color theme="0"/>
      <name val="Cirilica Times"/>
      <family val="1"/>
    </font>
    <font>
      <sz val="10"/>
      <color theme="0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8" fillId="0" borderId="0"/>
  </cellStyleXfs>
  <cellXfs count="347">
    <xf numFmtId="0" fontId="0" fillId="0" borderId="0" xfId="0"/>
    <xf numFmtId="49" fontId="1" fillId="0" borderId="0" xfId="1" applyNumberFormat="1" applyFont="1" applyFill="1" applyAlignment="1" applyProtection="1">
      <alignment horizontal="center" vertical="center" wrapText="1"/>
    </xf>
    <xf numFmtId="49" fontId="2" fillId="0" borderId="0" xfId="1" applyNumberFormat="1" applyFont="1" applyFill="1" applyAlignment="1" applyProtection="1">
      <alignment horizontal="center" vertical="center" wrapText="1"/>
    </xf>
    <xf numFmtId="49" fontId="3" fillId="0" borderId="0" xfId="1" applyNumberFormat="1" applyFont="1" applyFill="1" applyAlignment="1" applyProtection="1">
      <alignment horizontal="center" vertical="center" wrapText="1"/>
    </xf>
    <xf numFmtId="49" fontId="4" fillId="0" borderId="0" xfId="1" applyNumberFormat="1" applyFont="1" applyFill="1" applyAlignment="1" applyProtection="1">
      <alignment horizontal="center" vertical="center" wrapText="1"/>
    </xf>
    <xf numFmtId="0" fontId="4" fillId="0" borderId="0" xfId="1" applyFont="1" applyFill="1" applyAlignment="1" applyProtection="1">
      <alignment vertical="center"/>
    </xf>
    <xf numFmtId="0" fontId="27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horizontal="center" vertical="center" wrapText="1"/>
    </xf>
    <xf numFmtId="0" fontId="27" fillId="0" borderId="0" xfId="1" applyFont="1" applyFill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7" fillId="0" borderId="6" xfId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/>
    </xf>
    <xf numFmtId="0" fontId="11" fillId="0" borderId="1" xfId="1" applyFont="1" applyFill="1" applyBorder="1" applyAlignment="1" applyProtection="1">
      <alignment horizontal="center" vertical="center"/>
    </xf>
    <xf numFmtId="49" fontId="8" fillId="0" borderId="2" xfId="1" applyNumberFormat="1" applyFont="1" applyFill="1" applyBorder="1" applyAlignment="1" applyProtection="1">
      <alignment horizontal="center" vertical="center" wrapText="1"/>
    </xf>
    <xf numFmtId="49" fontId="13" fillId="0" borderId="2" xfId="1" applyNumberFormat="1" applyFont="1" applyFill="1" applyBorder="1" applyAlignment="1" applyProtection="1">
      <alignment horizontal="center" vertical="top" wrapText="1"/>
    </xf>
    <xf numFmtId="49" fontId="14" fillId="0" borderId="2" xfId="1" applyNumberFormat="1" applyFont="1" applyFill="1" applyBorder="1" applyAlignment="1" applyProtection="1">
      <alignment horizontal="center" vertical="top" wrapText="1"/>
    </xf>
    <xf numFmtId="49" fontId="15" fillId="0" borderId="2" xfId="1" applyNumberFormat="1" applyFont="1" applyFill="1" applyBorder="1" applyAlignment="1" applyProtection="1">
      <alignment horizontal="center" vertical="top" wrapText="1"/>
    </xf>
    <xf numFmtId="49" fontId="8" fillId="0" borderId="2" xfId="1" applyNumberFormat="1" applyFont="1" applyFill="1" applyBorder="1" applyAlignment="1" applyProtection="1">
      <alignment horizontal="center"/>
    </xf>
    <xf numFmtId="49" fontId="4" fillId="0" borderId="3" xfId="1" applyNumberFormat="1" applyFont="1" applyFill="1" applyBorder="1" applyAlignment="1" applyProtection="1">
      <alignment horizontal="center"/>
    </xf>
    <xf numFmtId="3" fontId="16" fillId="0" borderId="3" xfId="1" applyNumberFormat="1" applyFont="1" applyFill="1" applyBorder="1" applyAlignment="1" applyProtection="1">
      <alignment horizontal="right"/>
    </xf>
    <xf numFmtId="0" fontId="4" fillId="0" borderId="0" xfId="1" applyFont="1" applyFill="1" applyAlignment="1" applyProtection="1">
      <alignment vertical="top"/>
    </xf>
    <xf numFmtId="0" fontId="27" fillId="0" borderId="0" xfId="1" applyFont="1" applyFill="1" applyAlignment="1" applyProtection="1">
      <alignment vertical="top"/>
    </xf>
    <xf numFmtId="0" fontId="8" fillId="0" borderId="4" xfId="1" applyFont="1" applyFill="1" applyBorder="1" applyAlignment="1" applyProtection="1">
      <alignment horizontal="center" vertical="center"/>
    </xf>
    <xf numFmtId="49" fontId="13" fillId="0" borderId="4" xfId="1" applyNumberFormat="1" applyFont="1" applyFill="1" applyBorder="1" applyAlignment="1" applyProtection="1">
      <alignment horizontal="center" vertical="center" wrapText="1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49" fontId="8" fillId="0" borderId="4" xfId="1" applyNumberFormat="1" applyFont="1" applyFill="1" applyBorder="1" applyAlignment="1" applyProtection="1">
      <alignment horizontal="center" vertical="center" wrapText="1"/>
    </xf>
    <xf numFmtId="49" fontId="4" fillId="0" borderId="4" xfId="1" applyNumberFormat="1" applyFont="1" applyFill="1" applyBorder="1" applyAlignment="1" applyProtection="1">
      <alignment horizontal="center" vertical="center" wrapText="1"/>
    </xf>
    <xf numFmtId="3" fontId="17" fillId="0" borderId="4" xfId="1" applyNumberFormat="1" applyFont="1" applyFill="1" applyBorder="1" applyAlignment="1" applyProtection="1">
      <alignment vertical="center"/>
    </xf>
    <xf numFmtId="3" fontId="4" fillId="0" borderId="0" xfId="1" applyNumberFormat="1" applyFont="1" applyFill="1" applyAlignment="1" applyProtection="1">
      <alignment vertical="center"/>
    </xf>
    <xf numFmtId="0" fontId="28" fillId="0" borderId="0" xfId="1"/>
    <xf numFmtId="3" fontId="27" fillId="0" borderId="0" xfId="1" applyNumberFormat="1" applyFont="1" applyFill="1" applyAlignment="1" applyProtection="1">
      <alignment vertical="center"/>
    </xf>
    <xf numFmtId="49" fontId="11" fillId="0" borderId="4" xfId="1" applyNumberFormat="1" applyFont="1" applyFill="1" applyBorder="1" applyAlignment="1" applyProtection="1">
      <alignment horizontal="center" vertical="center" wrapText="1"/>
    </xf>
    <xf numFmtId="49" fontId="4" fillId="0" borderId="5" xfId="1" applyNumberFormat="1" applyFont="1" applyFill="1" applyBorder="1" applyAlignment="1" applyProtection="1">
      <alignment horizontal="center" vertical="center" wrapText="1"/>
    </xf>
    <xf numFmtId="3" fontId="17" fillId="0" borderId="5" xfId="1" applyNumberFormat="1" applyFont="1" applyFill="1" applyBorder="1" applyAlignment="1" applyProtection="1">
      <alignment vertical="center"/>
    </xf>
    <xf numFmtId="4" fontId="4" fillId="0" borderId="0" xfId="1" applyNumberFormat="1" applyFont="1" applyFill="1" applyAlignment="1" applyProtection="1">
      <alignment vertical="center"/>
    </xf>
    <xf numFmtId="49" fontId="8" fillId="0" borderId="4" xfId="1" applyNumberFormat="1" applyFont="1" applyFill="1" applyBorder="1" applyAlignment="1" applyProtection="1">
      <alignment horizontal="left" vertical="center" wrapText="1"/>
    </xf>
    <xf numFmtId="3" fontId="16" fillId="0" borderId="4" xfId="1" applyNumberFormat="1" applyFont="1" applyFill="1" applyBorder="1" applyAlignment="1" applyProtection="1">
      <alignment vertical="center"/>
    </xf>
    <xf numFmtId="3" fontId="17" fillId="2" borderId="4" xfId="1" applyNumberFormat="1" applyFont="1" applyFill="1" applyBorder="1" applyAlignment="1" applyProtection="1">
      <alignment vertical="center"/>
    </xf>
    <xf numFmtId="49" fontId="15" fillId="0" borderId="4" xfId="1" applyNumberFormat="1" applyFont="1" applyFill="1" applyBorder="1" applyAlignment="1" applyProtection="1">
      <alignment horizontal="center" vertical="center" wrapText="1"/>
    </xf>
    <xf numFmtId="0" fontId="28" fillId="3" borderId="0" xfId="1" applyFill="1"/>
    <xf numFmtId="3" fontId="28" fillId="3" borderId="0" xfId="1" applyNumberFormat="1" applyFill="1"/>
    <xf numFmtId="3" fontId="27" fillId="3" borderId="0" xfId="1" applyNumberFormat="1" applyFont="1" applyFill="1" applyAlignment="1" applyProtection="1">
      <alignment vertical="center"/>
    </xf>
    <xf numFmtId="0" fontId="8" fillId="0" borderId="4" xfId="1" applyFont="1" applyFill="1" applyBorder="1" applyAlignment="1" applyProtection="1">
      <alignment horizontal="center" vertical="center" wrapText="1"/>
    </xf>
    <xf numFmtId="3" fontId="26" fillId="0" borderId="4" xfId="1" applyNumberFormat="1" applyFont="1" applyFill="1" applyBorder="1" applyAlignment="1" applyProtection="1">
      <alignment vertical="center"/>
    </xf>
    <xf numFmtId="49" fontId="14" fillId="0" borderId="4" xfId="1" applyNumberFormat="1" applyFont="1" applyFill="1" applyBorder="1" applyAlignment="1" applyProtection="1">
      <alignment horizontal="center" vertical="center" wrapText="1"/>
    </xf>
    <xf numFmtId="49" fontId="15" fillId="0" borderId="4" xfId="1" applyNumberFormat="1" applyFont="1" applyFill="1" applyBorder="1" applyAlignment="1" applyProtection="1">
      <alignment horizontal="center" vertical="top" wrapText="1"/>
    </xf>
    <xf numFmtId="49" fontId="18" fillId="0" borderId="5" xfId="1" applyNumberFormat="1" applyFont="1" applyFill="1" applyBorder="1" applyAlignment="1" applyProtection="1">
      <alignment horizontal="center" vertical="center" wrapText="1"/>
    </xf>
    <xf numFmtId="49" fontId="22" fillId="0" borderId="4" xfId="1" applyNumberFormat="1" applyFont="1" applyFill="1" applyBorder="1" applyAlignment="1" applyProtection="1">
      <alignment horizontal="left" vertical="center" wrapText="1"/>
    </xf>
    <xf numFmtId="49" fontId="15" fillId="0" borderId="5" xfId="1" applyNumberFormat="1" applyFont="1" applyFill="1" applyBorder="1" applyAlignment="1" applyProtection="1">
      <alignment horizontal="left" vertical="center" wrapText="1"/>
    </xf>
    <xf numFmtId="49" fontId="8" fillId="0" borderId="5" xfId="1" applyNumberFormat="1" applyFont="1" applyFill="1" applyBorder="1" applyAlignment="1" applyProtection="1">
      <alignment horizontal="left" vertical="center" wrapText="1"/>
    </xf>
    <xf numFmtId="0" fontId="1" fillId="0" borderId="0" xfId="1" applyFont="1" applyFill="1" applyAlignment="1" applyProtection="1">
      <alignment horizontal="center" vertical="center"/>
    </xf>
    <xf numFmtId="0" fontId="2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vertical="center"/>
    </xf>
    <xf numFmtId="3" fontId="28" fillId="0" borderId="0" xfId="1" applyNumberFormat="1"/>
    <xf numFmtId="49" fontId="3" fillId="0" borderId="0" xfId="1" applyNumberFormat="1" applyFont="1" applyFill="1" applyAlignment="1" applyProtection="1">
      <alignment horizontal="center" vertical="center" wrapText="1"/>
      <protection locked="0"/>
    </xf>
    <xf numFmtId="49" fontId="4" fillId="0" borderId="0" xfId="1" applyNumberFormat="1" applyFont="1" applyFill="1" applyAlignment="1" applyProtection="1">
      <alignment horizontal="left" vertical="center" wrapText="1"/>
      <protection locked="0"/>
    </xf>
    <xf numFmtId="49" fontId="4" fillId="0" borderId="0" xfId="1" applyNumberFormat="1" applyFont="1" applyFill="1" applyAlignment="1" applyProtection="1">
      <alignment horizontal="center" vertical="center" wrapText="1"/>
      <protection locked="0"/>
    </xf>
    <xf numFmtId="0" fontId="4" fillId="0" borderId="0" xfId="1" applyFont="1" applyFill="1" applyAlignment="1" applyProtection="1">
      <alignment vertical="center"/>
      <protection locked="0"/>
    </xf>
    <xf numFmtId="49" fontId="21" fillId="0" borderId="0" xfId="1" applyNumberFormat="1" applyFont="1" applyFill="1" applyAlignment="1" applyProtection="1">
      <alignment horizontal="center" vertical="center" wrapText="1"/>
    </xf>
    <xf numFmtId="49" fontId="4" fillId="0" borderId="0" xfId="1" applyNumberFormat="1" applyFont="1" applyFill="1" applyAlignment="1" applyProtection="1">
      <alignment vertical="center" wrapText="1"/>
    </xf>
    <xf numFmtId="49" fontId="4" fillId="0" borderId="0" xfId="1" applyNumberFormat="1" applyFont="1" applyFill="1" applyAlignment="1" applyProtection="1">
      <alignment vertical="center" wrapText="1"/>
      <protection locked="0"/>
    </xf>
    <xf numFmtId="49" fontId="4" fillId="0" borderId="0" xfId="1" applyNumberFormat="1" applyFont="1" applyFill="1" applyBorder="1" applyAlignment="1" applyProtection="1">
      <alignment vertical="center" wrapText="1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3" fontId="4" fillId="0" borderId="0" xfId="1" applyNumberFormat="1" applyFont="1" applyFill="1" applyAlignment="1" applyProtection="1">
      <alignment vertical="center"/>
      <protection locked="0"/>
    </xf>
    <xf numFmtId="49" fontId="4" fillId="0" borderId="0" xfId="1" applyNumberFormat="1" applyFont="1" applyFill="1" applyAlignment="1" applyProtection="1">
      <alignment horizontal="left" vertical="center" wrapText="1"/>
    </xf>
    <xf numFmtId="0" fontId="4" fillId="0" borderId="0" xfId="1" applyFont="1" applyFill="1" applyAlignment="1" applyProtection="1">
      <alignment horizontal="left" vertical="center"/>
    </xf>
    <xf numFmtId="0" fontId="28" fillId="0" borderId="0" xfId="1" applyFont="1"/>
    <xf numFmtId="3" fontId="29" fillId="0" borderId="0" xfId="1" applyNumberFormat="1" applyFont="1" applyFill="1" applyAlignment="1" applyProtection="1">
      <alignment vertical="center"/>
    </xf>
    <xf numFmtId="0" fontId="30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horizontal="center" vertical="center" wrapText="1"/>
    </xf>
    <xf numFmtId="0" fontId="30" fillId="0" borderId="0" xfId="1" applyFont="1" applyFill="1" applyAlignment="1" applyProtection="1">
      <alignment vertical="top"/>
    </xf>
    <xf numFmtId="3" fontId="30" fillId="0" borderId="0" xfId="1" applyNumberFormat="1" applyFont="1" applyFill="1" applyAlignment="1" applyProtection="1">
      <alignment vertical="center"/>
    </xf>
    <xf numFmtId="0" fontId="15" fillId="0" borderId="4" xfId="1" applyFont="1" applyFill="1" applyBorder="1" applyAlignment="1" applyProtection="1">
      <alignment horizontal="center" vertical="center"/>
    </xf>
    <xf numFmtId="49" fontId="6" fillId="0" borderId="4" xfId="1" applyNumberFormat="1" applyFont="1" applyFill="1" applyBorder="1" applyAlignment="1" applyProtection="1">
      <alignment horizontal="center" vertical="center" wrapText="1"/>
    </xf>
    <xf numFmtId="3" fontId="6" fillId="0" borderId="0" xfId="1" applyNumberFormat="1" applyFont="1" applyFill="1" applyAlignment="1" applyProtection="1">
      <alignment vertical="center"/>
    </xf>
    <xf numFmtId="0" fontId="6" fillId="0" borderId="0" xfId="1" applyFont="1" applyFill="1" applyAlignment="1" applyProtection="1">
      <alignment vertical="center"/>
    </xf>
    <xf numFmtId="3" fontId="31" fillId="0" borderId="0" xfId="1" applyNumberFormat="1" applyFont="1" applyFill="1" applyAlignment="1" applyProtection="1">
      <alignment vertical="center"/>
    </xf>
    <xf numFmtId="0" fontId="31" fillId="0" borderId="0" xfId="1" applyFont="1" applyFill="1" applyAlignment="1" applyProtection="1">
      <alignment vertical="center"/>
    </xf>
    <xf numFmtId="49" fontId="6" fillId="0" borderId="5" xfId="1" applyNumberFormat="1" applyFont="1" applyFill="1" applyBorder="1" applyAlignment="1" applyProtection="1">
      <alignment horizontal="center" vertical="center" wrapText="1"/>
    </xf>
    <xf numFmtId="3" fontId="17" fillId="2" borderId="5" xfId="1" applyNumberFormat="1" applyFont="1" applyFill="1" applyBorder="1" applyAlignment="1" applyProtection="1">
      <alignment vertical="center"/>
    </xf>
    <xf numFmtId="49" fontId="13" fillId="0" borderId="4" xfId="1" applyNumberFormat="1" applyFont="1" applyFill="1" applyBorder="1" applyAlignment="1" applyProtection="1">
      <alignment horizontal="center" vertical="center" wrapText="1"/>
    </xf>
    <xf numFmtId="49" fontId="15" fillId="0" borderId="4" xfId="1" applyNumberFormat="1" applyFont="1" applyFill="1" applyBorder="1" applyAlignment="1" applyProtection="1">
      <alignment horizontal="left" vertical="center" wrapText="1"/>
    </xf>
    <xf numFmtId="3" fontId="17" fillId="0" borderId="4" xfId="1" applyNumberFormat="1" applyFont="1" applyFill="1" applyBorder="1" applyAlignment="1" applyProtection="1">
      <alignment vertical="center"/>
    </xf>
    <xf numFmtId="3" fontId="17" fillId="0" borderId="5" xfId="1" applyNumberFormat="1" applyFont="1" applyFill="1" applyBorder="1" applyAlignment="1" applyProtection="1">
      <alignment vertical="center"/>
    </xf>
    <xf numFmtId="3" fontId="16" fillId="0" borderId="4" xfId="1" applyNumberFormat="1" applyFont="1" applyFill="1" applyBorder="1" applyAlignment="1" applyProtection="1">
      <alignment vertical="center"/>
    </xf>
    <xf numFmtId="49" fontId="15" fillId="0" borderId="4" xfId="1" applyNumberFormat="1" applyFont="1" applyFill="1" applyBorder="1" applyAlignment="1" applyProtection="1">
      <alignment horizontal="center" vertical="center" wrapText="1"/>
    </xf>
    <xf numFmtId="3" fontId="17" fillId="0" borderId="4" xfId="1" applyNumberFormat="1" applyFont="1" applyFill="1" applyBorder="1" applyAlignment="1" applyProtection="1">
      <alignment horizontal="right" vertical="center"/>
    </xf>
    <xf numFmtId="3" fontId="17" fillId="0" borderId="5" xfId="1" applyNumberFormat="1" applyFont="1" applyFill="1" applyBorder="1" applyAlignment="1" applyProtection="1">
      <alignment horizontal="right" vertical="center"/>
    </xf>
    <xf numFmtId="3" fontId="4" fillId="0" borderId="0" xfId="1" applyNumberFormat="1" applyFont="1" applyFill="1" applyAlignment="1" applyProtection="1">
      <alignment vertical="center"/>
    </xf>
    <xf numFmtId="3" fontId="26" fillId="0" borderId="4" xfId="1" applyNumberFormat="1" applyFont="1" applyFill="1" applyBorder="1" applyAlignment="1" applyProtection="1">
      <alignment vertical="center"/>
    </xf>
    <xf numFmtId="3" fontId="32" fillId="0" borderId="4" xfId="1" applyNumberFormat="1" applyFont="1" applyFill="1" applyBorder="1" applyAlignment="1" applyProtection="1">
      <alignment vertical="center"/>
    </xf>
    <xf numFmtId="0" fontId="33" fillId="0" borderId="6" xfId="1" applyFont="1" applyFill="1" applyBorder="1" applyAlignment="1" applyProtection="1">
      <alignment horizontal="center" vertical="center" wrapText="1"/>
    </xf>
    <xf numFmtId="0" fontId="6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horizontal="center" vertical="center" wrapText="1"/>
    </xf>
    <xf numFmtId="0" fontId="30" fillId="0" borderId="0" xfId="1" applyFont="1" applyFill="1" applyAlignment="1" applyProtection="1">
      <alignment vertical="top"/>
    </xf>
    <xf numFmtId="3" fontId="30" fillId="0" borderId="0" xfId="1" applyNumberFormat="1" applyFont="1" applyFill="1" applyAlignment="1" applyProtection="1">
      <alignment vertical="center"/>
    </xf>
    <xf numFmtId="3" fontId="35" fillId="0" borderId="0" xfId="1" applyNumberFormat="1" applyFont="1" applyFill="1" applyAlignment="1" applyProtection="1">
      <alignment vertical="center"/>
    </xf>
    <xf numFmtId="49" fontId="36" fillId="0" borderId="4" xfId="1" applyNumberFormat="1" applyFont="1" applyFill="1" applyBorder="1" applyAlignment="1" applyProtection="1">
      <alignment horizontal="center" vertical="center" wrapText="1"/>
    </xf>
    <xf numFmtId="49" fontId="38" fillId="0" borderId="4" xfId="1" applyNumberFormat="1" applyFont="1" applyFill="1" applyBorder="1" applyAlignment="1" applyProtection="1">
      <alignment horizontal="center" vertical="center" wrapText="1"/>
    </xf>
    <xf numFmtId="49" fontId="20" fillId="0" borderId="4" xfId="1" applyNumberFormat="1" applyFont="1" applyFill="1" applyBorder="1" applyAlignment="1" applyProtection="1">
      <alignment horizontal="left" vertical="center" wrapText="1"/>
    </xf>
    <xf numFmtId="0" fontId="37" fillId="0" borderId="4" xfId="1" applyFont="1" applyFill="1" applyBorder="1" applyAlignment="1" applyProtection="1">
      <alignment horizontal="center" vertical="center"/>
    </xf>
    <xf numFmtId="49" fontId="20" fillId="0" borderId="4" xfId="1" applyNumberFormat="1" applyFont="1" applyFill="1" applyBorder="1" applyAlignment="1" applyProtection="1">
      <alignment horizontal="center" vertical="center" wrapText="1"/>
    </xf>
    <xf numFmtId="49" fontId="37" fillId="0" borderId="4" xfId="1" applyNumberFormat="1" applyFont="1" applyFill="1" applyBorder="1" applyAlignment="1" applyProtection="1">
      <alignment horizontal="center" vertical="center" wrapText="1"/>
    </xf>
    <xf numFmtId="3" fontId="26" fillId="2" borderId="4" xfId="1" applyNumberFormat="1" applyFont="1" applyFill="1" applyBorder="1" applyAlignment="1" applyProtection="1">
      <alignment vertical="center"/>
    </xf>
    <xf numFmtId="0" fontId="39" fillId="0" borderId="0" xfId="0" applyFont="1" applyAlignment="1">
      <alignment horizontal="center"/>
    </xf>
    <xf numFmtId="0" fontId="39" fillId="4" borderId="0" xfId="0" applyFont="1" applyFill="1" applyAlignment="1">
      <alignment horizontal="center"/>
    </xf>
    <xf numFmtId="0" fontId="39" fillId="6" borderId="0" xfId="0" applyFont="1" applyFill="1" applyAlignment="1">
      <alignment horizontal="center"/>
    </xf>
    <xf numFmtId="0" fontId="39" fillId="4" borderId="0" xfId="0" applyFont="1" applyFill="1" applyBorder="1" applyAlignment="1">
      <alignment horizontal="center"/>
    </xf>
    <xf numFmtId="0" fontId="40" fillId="0" borderId="0" xfId="1" applyFont="1" applyFill="1" applyAlignment="1" applyProtection="1">
      <alignment vertical="center"/>
    </xf>
    <xf numFmtId="0" fontId="40" fillId="0" borderId="0" xfId="1" applyFont="1" applyFill="1" applyAlignment="1" applyProtection="1">
      <alignment horizontal="center" vertical="center" wrapText="1"/>
    </xf>
    <xf numFmtId="0" fontId="41" fillId="0" borderId="6" xfId="1" applyFont="1" applyFill="1" applyBorder="1" applyAlignment="1" applyProtection="1">
      <alignment horizontal="center" vertical="center" wrapText="1"/>
    </xf>
    <xf numFmtId="3" fontId="40" fillId="0" borderId="0" xfId="1" applyNumberFormat="1" applyFont="1" applyFill="1" applyAlignment="1" applyProtection="1">
      <alignment vertical="center"/>
    </xf>
    <xf numFmtId="0" fontId="42" fillId="0" borderId="0" xfId="0" applyFont="1"/>
    <xf numFmtId="0" fontId="42" fillId="0" borderId="0" xfId="0" applyFont="1" applyBorder="1"/>
    <xf numFmtId="0" fontId="42" fillId="0" borderId="0" xfId="0" applyFont="1" applyAlignment="1">
      <alignment wrapText="1"/>
    </xf>
    <xf numFmtId="3" fontId="42" fillId="0" borderId="0" xfId="0" applyNumberFormat="1" applyFont="1"/>
    <xf numFmtId="0" fontId="43" fillId="0" borderId="0" xfId="0" applyFont="1" applyAlignment="1">
      <alignment horizontal="right"/>
    </xf>
    <xf numFmtId="0" fontId="43" fillId="0" borderId="0" xfId="0" applyNumberFormat="1" applyFont="1" applyAlignment="1">
      <alignment horizontal="right"/>
    </xf>
    <xf numFmtId="0" fontId="42" fillId="7" borderId="0" xfId="0" applyFont="1" applyFill="1"/>
    <xf numFmtId="3" fontId="44" fillId="7" borderId="0" xfId="0" applyNumberFormat="1" applyFont="1" applyFill="1"/>
    <xf numFmtId="0" fontId="43" fillId="2" borderId="0" xfId="0" applyFont="1" applyFill="1" applyAlignment="1">
      <alignment horizontal="right"/>
    </xf>
    <xf numFmtId="0" fontId="39" fillId="2" borderId="0" xfId="0" applyFont="1" applyFill="1" applyAlignment="1">
      <alignment horizontal="center"/>
    </xf>
    <xf numFmtId="0" fontId="42" fillId="2" borderId="0" xfId="0" applyFont="1" applyFill="1"/>
    <xf numFmtId="164" fontId="42" fillId="0" borderId="0" xfId="0" applyNumberFormat="1" applyFont="1"/>
    <xf numFmtId="0" fontId="39" fillId="8" borderId="0" xfId="0" applyFont="1" applyFill="1" applyAlignment="1"/>
    <xf numFmtId="0" fontId="42" fillId="0" borderId="0" xfId="0" applyFont="1" applyAlignment="1">
      <alignment horizontal="justify" wrapText="1"/>
    </xf>
    <xf numFmtId="0" fontId="42" fillId="5" borderId="0" xfId="0" applyFont="1" applyFill="1" applyAlignment="1">
      <alignment horizontal="right" wrapText="1"/>
    </xf>
    <xf numFmtId="0" fontId="39" fillId="5" borderId="0" xfId="0" applyFont="1" applyFill="1" applyAlignment="1">
      <alignment horizontal="right" vertical="top" wrapText="1"/>
    </xf>
    <xf numFmtId="0" fontId="39" fillId="5" borderId="11" xfId="0" applyFont="1" applyFill="1" applyBorder="1" applyAlignment="1">
      <alignment horizontal="center" textRotation="90" wrapText="1"/>
    </xf>
    <xf numFmtId="0" fontId="39" fillId="5" borderId="0" xfId="0" applyFont="1" applyFill="1" applyBorder="1" applyAlignment="1">
      <alignment horizontal="center" textRotation="90" wrapText="1"/>
    </xf>
    <xf numFmtId="0" fontId="39" fillId="5" borderId="11" xfId="0" applyFont="1" applyFill="1" applyBorder="1" applyAlignment="1">
      <alignment horizontal="center" textRotation="90"/>
    </xf>
    <xf numFmtId="0" fontId="39" fillId="5" borderId="10" xfId="0" applyFont="1" applyFill="1" applyBorder="1" applyAlignment="1">
      <alignment horizontal="right" wrapText="1"/>
    </xf>
    <xf numFmtId="0" fontId="39" fillId="5" borderId="10" xfId="0" applyFont="1" applyFill="1" applyBorder="1" applyAlignment="1">
      <alignment horizontal="right"/>
    </xf>
    <xf numFmtId="0" fontId="39" fillId="5" borderId="0" xfId="0" applyFont="1" applyFill="1" applyAlignment="1">
      <alignment horizontal="right"/>
    </xf>
    <xf numFmtId="0" fontId="39" fillId="5" borderId="0" xfId="0" applyFont="1" applyFill="1" applyAlignment="1">
      <alignment wrapText="1"/>
    </xf>
    <xf numFmtId="0" fontId="39" fillId="5" borderId="12" xfId="0" applyFont="1" applyFill="1" applyBorder="1" applyAlignment="1">
      <alignment horizontal="right"/>
    </xf>
    <xf numFmtId="0" fontId="39" fillId="5" borderId="12" xfId="0" applyFont="1" applyFill="1" applyBorder="1" applyAlignment="1">
      <alignment horizontal="center"/>
    </xf>
    <xf numFmtId="0" fontId="39" fillId="5" borderId="0" xfId="0" applyFont="1" applyFill="1" applyAlignment="1">
      <alignment horizontal="center"/>
    </xf>
    <xf numFmtId="0" fontId="42" fillId="5" borderId="0" xfId="0" applyFont="1" applyFill="1" applyAlignment="1">
      <alignment wrapText="1"/>
    </xf>
    <xf numFmtId="164" fontId="42" fillId="5" borderId="0" xfId="0" applyNumberFormat="1" applyFont="1" applyFill="1" applyAlignment="1">
      <alignment horizontal="right"/>
    </xf>
    <xf numFmtId="164" fontId="42" fillId="5" borderId="11" xfId="0" applyNumberFormat="1" applyFont="1" applyFill="1" applyBorder="1" applyAlignment="1">
      <alignment horizontal="right"/>
    </xf>
    <xf numFmtId="3" fontId="42" fillId="5" borderId="13" xfId="0" applyNumberFormat="1" applyFont="1" applyFill="1" applyBorder="1" applyAlignment="1">
      <alignment horizontal="right" wrapText="1"/>
    </xf>
    <xf numFmtId="3" fontId="42" fillId="5" borderId="12" xfId="0" applyNumberFormat="1" applyFont="1" applyFill="1" applyBorder="1" applyAlignment="1">
      <alignment horizontal="right" wrapText="1"/>
    </xf>
    <xf numFmtId="3" fontId="42" fillId="5" borderId="0" xfId="0" applyNumberFormat="1" applyFont="1" applyFill="1" applyBorder="1" applyAlignment="1">
      <alignment horizontal="right" wrapText="1"/>
    </xf>
    <xf numFmtId="0" fontId="42" fillId="5" borderId="0" xfId="0" applyFont="1" applyFill="1" applyAlignment="1">
      <alignment horizontal="right"/>
    </xf>
    <xf numFmtId="0" fontId="42" fillId="5" borderId="12" xfId="0" applyFont="1" applyFill="1" applyBorder="1" applyAlignment="1">
      <alignment horizontal="right"/>
    </xf>
    <xf numFmtId="164" fontId="42" fillId="5" borderId="13" xfId="0" applyNumberFormat="1" applyFont="1" applyFill="1" applyBorder="1" applyAlignment="1">
      <alignment horizontal="right" wrapText="1"/>
    </xf>
    <xf numFmtId="164" fontId="42" fillId="5" borderId="12" xfId="0" applyNumberFormat="1" applyFont="1" applyFill="1" applyBorder="1" applyAlignment="1">
      <alignment horizontal="right" wrapText="1"/>
    </xf>
    <xf numFmtId="164" fontId="42" fillId="5" borderId="0" xfId="0" applyNumberFormat="1" applyFont="1" applyFill="1" applyBorder="1" applyAlignment="1">
      <alignment horizontal="right" wrapText="1"/>
    </xf>
    <xf numFmtId="164" fontId="42" fillId="5" borderId="12" xfId="0" applyNumberFormat="1" applyFont="1" applyFill="1" applyBorder="1" applyAlignment="1">
      <alignment horizontal="right"/>
    </xf>
    <xf numFmtId="164" fontId="42" fillId="5" borderId="0" xfId="0" applyNumberFormat="1" applyFont="1" applyFill="1" applyBorder="1" applyAlignment="1">
      <alignment horizontal="right"/>
    </xf>
    <xf numFmtId="0" fontId="45" fillId="5" borderId="0" xfId="0" applyFont="1" applyFill="1" applyAlignment="1">
      <alignment wrapText="1"/>
    </xf>
    <xf numFmtId="49" fontId="46" fillId="0" borderId="0" xfId="0" applyNumberFormat="1" applyFont="1" applyFill="1" applyBorder="1" applyAlignment="1" applyProtection="1">
      <alignment horizontal="left" vertical="center" wrapText="1"/>
    </xf>
    <xf numFmtId="164" fontId="42" fillId="2" borderId="0" xfId="0" applyNumberFormat="1" applyFont="1" applyFill="1" applyBorder="1" applyAlignment="1">
      <alignment horizontal="right" wrapText="1"/>
    </xf>
    <xf numFmtId="0" fontId="42" fillId="5" borderId="0" xfId="0" applyFont="1" applyFill="1" applyAlignment="1">
      <alignment horizontal="left" wrapText="1"/>
    </xf>
    <xf numFmtId="164" fontId="42" fillId="0" borderId="0" xfId="0" applyNumberFormat="1" applyFont="1" applyFill="1" applyBorder="1" applyAlignment="1">
      <alignment horizontal="right" wrapText="1"/>
    </xf>
    <xf numFmtId="164" fontId="39" fillId="0" borderId="0" xfId="0" applyNumberFormat="1" applyFont="1" applyFill="1" applyBorder="1" applyAlignment="1">
      <alignment horizontal="right" wrapText="1"/>
    </xf>
    <xf numFmtId="164" fontId="39" fillId="0" borderId="9" xfId="0" applyNumberFormat="1" applyFont="1" applyFill="1" applyBorder="1" applyAlignment="1">
      <alignment horizontal="right" wrapText="1"/>
    </xf>
    <xf numFmtId="3" fontId="42" fillId="5" borderId="0" xfId="0" applyNumberFormat="1" applyFont="1" applyFill="1" applyBorder="1" applyAlignment="1">
      <alignment horizontal="right"/>
    </xf>
    <xf numFmtId="164" fontId="39" fillId="5" borderId="13" xfId="0" applyNumberFormat="1" applyFont="1" applyFill="1" applyBorder="1" applyAlignment="1">
      <alignment horizontal="right" wrapText="1"/>
    </xf>
    <xf numFmtId="164" fontId="39" fillId="5" borderId="0" xfId="0" applyNumberFormat="1" applyFont="1" applyFill="1" applyBorder="1" applyAlignment="1">
      <alignment horizontal="right" wrapText="1"/>
    </xf>
    <xf numFmtId="164" fontId="39" fillId="5" borderId="12" xfId="0" applyNumberFormat="1" applyFont="1" applyFill="1" applyBorder="1" applyAlignment="1">
      <alignment horizontal="right" wrapText="1"/>
    </xf>
    <xf numFmtId="164" fontId="39" fillId="5" borderId="12" xfId="0" applyNumberFormat="1" applyFont="1" applyFill="1" applyBorder="1" applyAlignment="1">
      <alignment horizontal="right"/>
    </xf>
    <xf numFmtId="164" fontId="39" fillId="5" borderId="0" xfId="0" applyNumberFormat="1" applyFont="1" applyFill="1" applyBorder="1" applyAlignment="1">
      <alignment horizontal="right"/>
    </xf>
    <xf numFmtId="164" fontId="39" fillId="5" borderId="13" xfId="0" applyNumberFormat="1" applyFont="1" applyFill="1" applyBorder="1" applyAlignment="1">
      <alignment horizontal="right"/>
    </xf>
    <xf numFmtId="164" fontId="39" fillId="2" borderId="9" xfId="0" applyNumberFormat="1" applyFont="1" applyFill="1" applyBorder="1" applyAlignment="1">
      <alignment horizontal="right"/>
    </xf>
    <xf numFmtId="164" fontId="39" fillId="2" borderId="0" xfId="0" applyNumberFormat="1" applyFont="1" applyFill="1" applyBorder="1" applyAlignment="1">
      <alignment horizontal="right" wrapText="1"/>
    </xf>
    <xf numFmtId="164" fontId="39" fillId="2" borderId="14" xfId="0" applyNumberFormat="1" applyFont="1" applyFill="1" applyBorder="1" applyAlignment="1">
      <alignment horizontal="right"/>
    </xf>
    <xf numFmtId="164" fontId="39" fillId="2" borderId="0" xfId="0" applyNumberFormat="1" applyFont="1" applyFill="1" applyBorder="1" applyAlignment="1">
      <alignment horizontal="right"/>
    </xf>
    <xf numFmtId="0" fontId="39" fillId="5" borderId="0" xfId="0" applyFont="1" applyFill="1" applyAlignment="1">
      <alignment horizontal="left" wrapText="1"/>
    </xf>
    <xf numFmtId="0" fontId="39" fillId="8" borderId="0" xfId="0" applyFont="1" applyFill="1" applyBorder="1" applyAlignment="1"/>
    <xf numFmtId="0" fontId="39" fillId="5" borderId="0" xfId="0" applyFont="1" applyFill="1" applyBorder="1" applyAlignment="1">
      <alignment horizontal="right" vertical="top" wrapText="1"/>
    </xf>
    <xf numFmtId="0" fontId="42" fillId="5" borderId="0" xfId="0" applyFont="1" applyFill="1" applyBorder="1" applyAlignment="1">
      <alignment horizontal="right" wrapText="1"/>
    </xf>
    <xf numFmtId="164" fontId="42" fillId="0" borderId="0" xfId="0" applyNumberFormat="1" applyFont="1" applyBorder="1"/>
    <xf numFmtId="0" fontId="39" fillId="5" borderId="0" xfId="0" applyFont="1" applyFill="1" applyBorder="1" applyAlignment="1">
      <alignment horizontal="center" textRotation="90"/>
    </xf>
    <xf numFmtId="0" fontId="39" fillId="5" borderId="0" xfId="0" applyFont="1" applyFill="1" applyBorder="1" applyAlignment="1">
      <alignment horizontal="right"/>
    </xf>
    <xf numFmtId="0" fontId="42" fillId="5" borderId="0" xfId="0" applyFont="1" applyFill="1" applyBorder="1" applyAlignment="1">
      <alignment horizontal="right"/>
    </xf>
    <xf numFmtId="164" fontId="39" fillId="0" borderId="14" xfId="0" applyNumberFormat="1" applyFont="1" applyFill="1" applyBorder="1" applyAlignment="1">
      <alignment horizontal="right" wrapText="1"/>
    </xf>
    <xf numFmtId="164" fontId="42" fillId="5" borderId="15" xfId="0" applyNumberFormat="1" applyFont="1" applyFill="1" applyBorder="1" applyAlignment="1">
      <alignment horizontal="right"/>
    </xf>
    <xf numFmtId="3" fontId="47" fillId="2" borderId="4" xfId="1" applyNumberFormat="1" applyFont="1" applyFill="1" applyBorder="1" applyAlignment="1" applyProtection="1">
      <alignment vertical="center"/>
    </xf>
    <xf numFmtId="3" fontId="47" fillId="2" borderId="5" xfId="1" applyNumberFormat="1" applyFont="1" applyFill="1" applyBorder="1" applyAlignment="1" applyProtection="1">
      <alignment vertical="center"/>
    </xf>
    <xf numFmtId="3" fontId="48" fillId="2" borderId="4" xfId="1" applyNumberFormat="1" applyFont="1" applyFill="1" applyBorder="1" applyAlignment="1" applyProtection="1">
      <alignment vertical="center"/>
    </xf>
    <xf numFmtId="3" fontId="47" fillId="2" borderId="5" xfId="1" applyNumberFormat="1" applyFont="1" applyFill="1" applyBorder="1" applyAlignment="1" applyProtection="1">
      <alignment horizontal="right" vertical="center"/>
    </xf>
    <xf numFmtId="3" fontId="47" fillId="2" borderId="4" xfId="1" applyNumberFormat="1" applyFont="1" applyFill="1" applyBorder="1" applyAlignment="1" applyProtection="1">
      <alignment horizontal="right" vertical="center"/>
    </xf>
    <xf numFmtId="3" fontId="16" fillId="2" borderId="4" xfId="1" applyNumberFormat="1" applyFont="1" applyFill="1" applyBorder="1" applyAlignment="1" applyProtection="1">
      <alignment vertical="center"/>
    </xf>
    <xf numFmtId="3" fontId="17" fillId="2" borderId="5" xfId="1" applyNumberFormat="1" applyFont="1" applyFill="1" applyBorder="1" applyAlignment="1" applyProtection="1">
      <alignment horizontal="right" vertical="center"/>
    </xf>
    <xf numFmtId="3" fontId="17" fillId="2" borderId="4" xfId="1" applyNumberFormat="1" applyFont="1" applyFill="1" applyBorder="1" applyAlignment="1" applyProtection="1">
      <alignment horizontal="right" vertical="center"/>
    </xf>
    <xf numFmtId="0" fontId="49" fillId="2" borderId="0" xfId="1" applyFont="1" applyFill="1" applyAlignment="1" applyProtection="1">
      <alignment vertical="top"/>
    </xf>
    <xf numFmtId="3" fontId="49" fillId="2" borderId="0" xfId="1" applyNumberFormat="1" applyFont="1" applyFill="1" applyAlignment="1" applyProtection="1">
      <alignment vertical="center"/>
    </xf>
    <xf numFmtId="0" fontId="30" fillId="2" borderId="0" xfId="1" applyFont="1" applyFill="1" applyAlignment="1" applyProtection="1">
      <alignment vertical="center"/>
    </xf>
    <xf numFmtId="0" fontId="30" fillId="2" borderId="0" xfId="1" applyFont="1" applyFill="1" applyAlignment="1" applyProtection="1">
      <alignment horizontal="center" vertical="center" wrapText="1"/>
    </xf>
    <xf numFmtId="0" fontId="30" fillId="2" borderId="0" xfId="1" applyFont="1" applyFill="1" applyAlignment="1" applyProtection="1">
      <alignment vertical="top"/>
    </xf>
    <xf numFmtId="3" fontId="34" fillId="2" borderId="0" xfId="1" applyNumberFormat="1" applyFont="1" applyFill="1"/>
    <xf numFmtId="0" fontId="39" fillId="7" borderId="0" xfId="0" applyFont="1" applyFill="1" applyAlignment="1">
      <alignment vertical="center" wrapText="1"/>
    </xf>
    <xf numFmtId="0" fontId="31" fillId="0" borderId="0" xfId="1" applyFont="1" applyFill="1" applyAlignment="1" applyProtection="1">
      <alignment horizontal="center" vertical="center" wrapText="1"/>
    </xf>
    <xf numFmtId="49" fontId="50" fillId="0" borderId="0" xfId="1" applyNumberFormat="1" applyFont="1" applyFill="1" applyAlignment="1" applyProtection="1">
      <alignment horizontal="center"/>
    </xf>
    <xf numFmtId="49" fontId="51" fillId="0" borderId="0" xfId="1" applyNumberFormat="1" applyFont="1" applyFill="1" applyAlignment="1" applyProtection="1">
      <alignment horizontal="center" vertical="center" wrapText="1"/>
    </xf>
    <xf numFmtId="49" fontId="52" fillId="0" borderId="0" xfId="1" applyNumberFormat="1" applyFont="1" applyFill="1" applyAlignment="1" applyProtection="1">
      <alignment horizontal="center" vertical="center"/>
    </xf>
    <xf numFmtId="0" fontId="51" fillId="0" borderId="0" xfId="1" applyFont="1" applyFill="1" applyBorder="1" applyAlignment="1" applyProtection="1">
      <alignment horizontal="center" vertical="center" wrapText="1"/>
    </xf>
    <xf numFmtId="0" fontId="33" fillId="0" borderId="0" xfId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center" vertical="center" wrapText="1"/>
    </xf>
    <xf numFmtId="0" fontId="53" fillId="0" borderId="0" xfId="1" applyFont="1" applyFill="1" applyBorder="1" applyAlignment="1" applyProtection="1">
      <alignment horizontal="center" vertical="center"/>
    </xf>
    <xf numFmtId="3" fontId="54" fillId="0" borderId="0" xfId="1" applyNumberFormat="1" applyFont="1" applyFill="1" applyBorder="1" applyAlignment="1" applyProtection="1">
      <alignment horizontal="right"/>
    </xf>
    <xf numFmtId="3" fontId="55" fillId="0" borderId="0" xfId="1" applyNumberFormat="1" applyFont="1" applyFill="1" applyBorder="1" applyAlignment="1" applyProtection="1">
      <alignment vertical="center"/>
    </xf>
    <xf numFmtId="3" fontId="54" fillId="0" borderId="0" xfId="1" applyNumberFormat="1" applyFont="1" applyFill="1" applyBorder="1" applyAlignment="1" applyProtection="1">
      <alignment vertical="center"/>
    </xf>
    <xf numFmtId="3" fontId="55" fillId="0" borderId="0" xfId="1" applyNumberFormat="1" applyFont="1" applyFill="1" applyBorder="1" applyAlignment="1" applyProtection="1">
      <alignment horizontal="right" vertical="center"/>
    </xf>
    <xf numFmtId="3" fontId="55" fillId="2" borderId="0" xfId="1" applyNumberFormat="1" applyFont="1" applyFill="1" applyBorder="1" applyAlignment="1" applyProtection="1">
      <alignment vertical="center"/>
    </xf>
    <xf numFmtId="3" fontId="56" fillId="0" borderId="0" xfId="1" applyNumberFormat="1" applyFont="1" applyFill="1" applyBorder="1" applyAlignment="1" applyProtection="1">
      <alignment vertical="center"/>
    </xf>
    <xf numFmtId="0" fontId="31" fillId="0" borderId="0" xfId="1" applyFont="1" applyFill="1" applyAlignment="1" applyProtection="1">
      <alignment horizontal="center" vertical="center"/>
    </xf>
    <xf numFmtId="0" fontId="31" fillId="0" borderId="0" xfId="1" applyFont="1" applyFill="1" applyAlignment="1" applyProtection="1">
      <alignment horizontal="center"/>
    </xf>
    <xf numFmtId="0" fontId="30" fillId="0" borderId="0" xfId="1" applyFont="1" applyFill="1" applyAlignment="1" applyProtection="1">
      <alignment vertical="center"/>
      <protection locked="0"/>
    </xf>
    <xf numFmtId="49" fontId="30" fillId="0" borderId="0" xfId="1" applyNumberFormat="1" applyFont="1" applyFill="1" applyBorder="1" applyAlignment="1" applyProtection="1">
      <alignment vertical="center" wrapText="1"/>
      <protection locked="0"/>
    </xf>
    <xf numFmtId="0" fontId="30" fillId="0" borderId="0" xfId="1" applyFont="1" applyFill="1" applyBorder="1" applyAlignment="1" applyProtection="1">
      <alignment vertical="center"/>
      <protection locked="0"/>
    </xf>
    <xf numFmtId="3" fontId="39" fillId="0" borderId="4" xfId="1" applyNumberFormat="1" applyFont="1" applyFill="1" applyBorder="1" applyAlignment="1" applyProtection="1">
      <alignment vertical="center"/>
    </xf>
    <xf numFmtId="3" fontId="39" fillId="0" borderId="5" xfId="1" applyNumberFormat="1" applyFont="1" applyFill="1" applyBorder="1" applyAlignment="1" applyProtection="1">
      <alignment vertical="center"/>
    </xf>
    <xf numFmtId="3" fontId="42" fillId="0" borderId="4" xfId="1" applyNumberFormat="1" applyFont="1" applyFill="1" applyBorder="1" applyAlignment="1" applyProtection="1">
      <alignment vertical="center"/>
    </xf>
    <xf numFmtId="3" fontId="39" fillId="0" borderId="5" xfId="1" applyNumberFormat="1" applyFont="1" applyFill="1" applyBorder="1" applyAlignment="1" applyProtection="1">
      <alignment horizontal="right" vertical="center"/>
    </xf>
    <xf numFmtId="3" fontId="39" fillId="2" borderId="4" xfId="1" applyNumberFormat="1" applyFont="1" applyFill="1" applyBorder="1" applyAlignment="1" applyProtection="1">
      <alignment vertical="center"/>
    </xf>
    <xf numFmtId="3" fontId="39" fillId="0" borderId="4" xfId="1" applyNumberFormat="1" applyFont="1" applyFill="1" applyBorder="1" applyAlignment="1" applyProtection="1">
      <alignment horizontal="right" vertical="center"/>
    </xf>
    <xf numFmtId="0" fontId="9" fillId="0" borderId="6" xfId="1" applyFont="1" applyFill="1" applyBorder="1" applyAlignment="1" applyProtection="1">
      <alignment horizontal="center" vertical="center" wrapText="1"/>
    </xf>
    <xf numFmtId="0" fontId="57" fillId="0" borderId="1" xfId="1" applyFont="1" applyFill="1" applyBorder="1" applyAlignment="1" applyProtection="1">
      <alignment horizontal="center" vertical="center"/>
    </xf>
    <xf numFmtId="0" fontId="49" fillId="0" borderId="0" xfId="1" applyFont="1" applyFill="1" applyAlignment="1" applyProtection="1">
      <alignment vertical="center"/>
    </xf>
    <xf numFmtId="0" fontId="49" fillId="0" borderId="0" xfId="1" applyFont="1" applyFill="1" applyAlignment="1" applyProtection="1">
      <alignment horizontal="center" vertical="center" wrapText="1"/>
    </xf>
    <xf numFmtId="0" fontId="58" fillId="0" borderId="0" xfId="1" applyFont="1" applyFill="1" applyAlignment="1" applyProtection="1">
      <alignment horizontal="center" vertical="center" wrapText="1"/>
    </xf>
    <xf numFmtId="0" fontId="59" fillId="0" borderId="6" xfId="1" applyFont="1" applyFill="1" applyBorder="1" applyAlignment="1" applyProtection="1">
      <alignment horizontal="center" vertical="center" wrapText="1"/>
    </xf>
    <xf numFmtId="0" fontId="60" fillId="0" borderId="1" xfId="1" applyFont="1" applyFill="1" applyBorder="1" applyAlignment="1" applyProtection="1">
      <alignment horizontal="center" vertical="center"/>
    </xf>
    <xf numFmtId="3" fontId="48" fillId="0" borderId="3" xfId="1" applyNumberFormat="1" applyFont="1" applyFill="1" applyBorder="1" applyAlignment="1" applyProtection="1">
      <alignment horizontal="right"/>
    </xf>
    <xf numFmtId="3" fontId="49" fillId="0" borderId="0" xfId="1" applyNumberFormat="1" applyFont="1" applyFill="1" applyAlignment="1" applyProtection="1">
      <alignment vertical="center"/>
    </xf>
    <xf numFmtId="0" fontId="49" fillId="0" borderId="0" xfId="1" applyFont="1" applyFill="1" applyAlignment="1" applyProtection="1">
      <alignment vertical="center"/>
      <protection locked="0"/>
    </xf>
    <xf numFmtId="49" fontId="49" fillId="0" borderId="0" xfId="1" applyNumberFormat="1" applyFont="1" applyFill="1" applyBorder="1" applyAlignment="1" applyProtection="1">
      <alignment vertical="center" wrapText="1"/>
      <protection locked="0"/>
    </xf>
    <xf numFmtId="0" fontId="49" fillId="0" borderId="0" xfId="1" applyFont="1" applyFill="1" applyBorder="1" applyAlignment="1" applyProtection="1">
      <alignment vertical="center"/>
      <protection locked="0"/>
    </xf>
    <xf numFmtId="49" fontId="24" fillId="0" borderId="0" xfId="1" applyNumberFormat="1" applyFont="1" applyFill="1" applyAlignment="1" applyProtection="1">
      <alignment horizontal="center"/>
    </xf>
    <xf numFmtId="49" fontId="25" fillId="0" borderId="0" xfId="1" applyNumberFormat="1" applyFont="1" applyFill="1" applyAlignment="1" applyProtection="1">
      <alignment horizontal="center" vertical="center"/>
    </xf>
    <xf numFmtId="49" fontId="19" fillId="0" borderId="0" xfId="1" applyNumberFormat="1" applyFont="1" applyFill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 vertical="center"/>
    </xf>
    <xf numFmtId="0" fontId="6" fillId="0" borderId="0" xfId="1" applyFont="1" applyFill="1" applyAlignment="1" applyProtection="1">
      <alignment horizontal="center"/>
    </xf>
    <xf numFmtId="3" fontId="48" fillId="2" borderId="3" xfId="1" applyNumberFormat="1" applyFont="1" applyFill="1" applyBorder="1" applyAlignment="1" applyProtection="1">
      <alignment horizontal="right"/>
    </xf>
    <xf numFmtId="0" fontId="9" fillId="0" borderId="0" xfId="1" applyFont="1" applyFill="1" applyBorder="1" applyAlignment="1" applyProtection="1">
      <alignment horizontal="center" vertical="center"/>
    </xf>
    <xf numFmtId="3" fontId="16" fillId="0" borderId="0" xfId="1" applyNumberFormat="1" applyFont="1" applyFill="1" applyBorder="1" applyAlignment="1" applyProtection="1">
      <alignment horizontal="right"/>
    </xf>
    <xf numFmtId="0" fontId="19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57" fillId="0" borderId="0" xfId="1" applyFont="1" applyFill="1" applyBorder="1" applyAlignment="1" applyProtection="1">
      <alignment horizontal="center" vertical="center"/>
    </xf>
    <xf numFmtId="3" fontId="17" fillId="2" borderId="0" xfId="1" applyNumberFormat="1" applyFont="1" applyFill="1" applyBorder="1" applyAlignment="1" applyProtection="1">
      <alignment vertical="center"/>
    </xf>
    <xf numFmtId="3" fontId="16" fillId="2" borderId="0" xfId="1" applyNumberFormat="1" applyFont="1" applyFill="1" applyBorder="1" applyAlignment="1" applyProtection="1">
      <alignment vertical="center"/>
    </xf>
    <xf numFmtId="3" fontId="17" fillId="2" borderId="0" xfId="1" applyNumberFormat="1" applyFont="1" applyFill="1" applyBorder="1" applyAlignment="1" applyProtection="1">
      <alignment horizontal="right" vertical="center"/>
    </xf>
    <xf numFmtId="0" fontId="28" fillId="3" borderId="0" xfId="1" applyFont="1" applyFill="1"/>
    <xf numFmtId="3" fontId="28" fillId="0" borderId="0" xfId="1" applyNumberFormat="1" applyFont="1"/>
    <xf numFmtId="49" fontId="42" fillId="9" borderId="0" xfId="0" applyNumberFormat="1" applyFont="1" applyFill="1"/>
    <xf numFmtId="49" fontId="39" fillId="9" borderId="10" xfId="0" applyNumberFormat="1" applyFont="1" applyFill="1" applyBorder="1" applyAlignment="1">
      <alignment horizontal="right" wrapText="1"/>
    </xf>
    <xf numFmtId="49" fontId="39" fillId="9" borderId="4" xfId="1" applyNumberFormat="1" applyFont="1" applyFill="1" applyBorder="1" applyAlignment="1" applyProtection="1">
      <alignment vertical="center"/>
    </xf>
    <xf numFmtId="49" fontId="39" fillId="9" borderId="5" xfId="1" applyNumberFormat="1" applyFont="1" applyFill="1" applyBorder="1" applyAlignment="1" applyProtection="1">
      <alignment vertical="center"/>
    </xf>
    <xf numFmtId="49" fontId="42" fillId="9" borderId="4" xfId="1" applyNumberFormat="1" applyFont="1" applyFill="1" applyBorder="1" applyAlignment="1" applyProtection="1">
      <alignment vertical="center"/>
    </xf>
    <xf numFmtId="49" fontId="39" fillId="9" borderId="5" xfId="1" applyNumberFormat="1" applyFont="1" applyFill="1" applyBorder="1" applyAlignment="1" applyProtection="1">
      <alignment horizontal="right" vertical="center"/>
    </xf>
    <xf numFmtId="49" fontId="39" fillId="9" borderId="4" xfId="1" applyNumberFormat="1" applyFont="1" applyFill="1" applyBorder="1" applyAlignment="1" applyProtection="1">
      <alignment horizontal="right" vertical="center"/>
    </xf>
    <xf numFmtId="0" fontId="4" fillId="2" borderId="0" xfId="1" applyFont="1" applyFill="1" applyAlignment="1" applyProtection="1">
      <alignment vertical="center"/>
    </xf>
    <xf numFmtId="3" fontId="4" fillId="2" borderId="0" xfId="1" applyNumberFormat="1" applyFont="1" applyFill="1" applyAlignment="1" applyProtection="1">
      <alignment vertical="center"/>
    </xf>
    <xf numFmtId="49" fontId="61" fillId="0" borderId="0" xfId="1" applyNumberFormat="1" applyFont="1" applyFill="1" applyAlignment="1" applyProtection="1">
      <alignment horizontal="center"/>
    </xf>
    <xf numFmtId="49" fontId="62" fillId="0" borderId="0" xfId="1" applyNumberFormat="1" applyFont="1" applyFill="1" applyAlignment="1" applyProtection="1">
      <alignment horizontal="center" vertical="center" wrapText="1"/>
    </xf>
    <xf numFmtId="49" fontId="63" fillId="0" borderId="0" xfId="1" applyNumberFormat="1" applyFont="1" applyFill="1" applyAlignment="1" applyProtection="1">
      <alignment horizontal="center" vertical="center"/>
    </xf>
    <xf numFmtId="0" fontId="62" fillId="0" borderId="0" xfId="1" applyFont="1" applyFill="1" applyBorder="1" applyAlignment="1" applyProtection="1">
      <alignment horizontal="center" vertical="center" wrapText="1"/>
    </xf>
    <xf numFmtId="0" fontId="59" fillId="0" borderId="0" xfId="1" applyFont="1" applyFill="1" applyBorder="1" applyAlignment="1" applyProtection="1">
      <alignment horizontal="center" vertical="center"/>
    </xf>
    <xf numFmtId="0" fontId="59" fillId="0" borderId="0" xfId="1" applyFont="1" applyFill="1" applyBorder="1" applyAlignment="1" applyProtection="1">
      <alignment horizontal="center" vertical="center" wrapText="1"/>
    </xf>
    <xf numFmtId="0" fontId="60" fillId="0" borderId="0" xfId="1" applyFont="1" applyFill="1" applyBorder="1" applyAlignment="1" applyProtection="1">
      <alignment horizontal="center" vertical="center"/>
    </xf>
    <xf numFmtId="3" fontId="48" fillId="0" borderId="0" xfId="1" applyNumberFormat="1" applyFont="1" applyFill="1" applyBorder="1" applyAlignment="1" applyProtection="1">
      <alignment horizontal="right"/>
    </xf>
    <xf numFmtId="3" fontId="47" fillId="2" borderId="0" xfId="1" applyNumberFormat="1" applyFont="1" applyFill="1" applyBorder="1" applyAlignment="1" applyProtection="1">
      <alignment vertical="center"/>
    </xf>
    <xf numFmtId="0" fontId="58" fillId="0" borderId="0" xfId="1" applyFont="1" applyFill="1" applyAlignment="1" applyProtection="1">
      <alignment horizontal="center" vertical="center"/>
    </xf>
    <xf numFmtId="0" fontId="58" fillId="0" borderId="0" xfId="1" applyFont="1" applyFill="1" applyAlignment="1" applyProtection="1">
      <alignment horizontal="center"/>
    </xf>
    <xf numFmtId="0" fontId="4" fillId="2" borderId="0" xfId="1" applyFont="1" applyFill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/>
    </xf>
    <xf numFmtId="3" fontId="16" fillId="2" borderId="3" xfId="1" applyNumberFormat="1" applyFont="1" applyFill="1" applyBorder="1" applyAlignment="1" applyProtection="1">
      <alignment horizontal="right"/>
    </xf>
    <xf numFmtId="0" fontId="4" fillId="2" borderId="0" xfId="1" applyFont="1" applyFill="1" applyAlignment="1" applyProtection="1">
      <alignment vertical="center"/>
      <protection locked="0"/>
    </xf>
    <xf numFmtId="49" fontId="4" fillId="2" borderId="0" xfId="1" applyNumberFormat="1" applyFont="1" applyFill="1" applyBorder="1" applyAlignment="1" applyProtection="1">
      <alignment vertical="center" wrapText="1"/>
      <protection locked="0"/>
    </xf>
    <xf numFmtId="0" fontId="4" fillId="2" borderId="0" xfId="1" applyFont="1" applyFill="1" applyBorder="1" applyAlignment="1" applyProtection="1">
      <alignment vertical="center"/>
      <protection locked="0"/>
    </xf>
    <xf numFmtId="3" fontId="4" fillId="2" borderId="0" xfId="1" applyNumberFormat="1" applyFont="1" applyFill="1" applyAlignment="1" applyProtection="1">
      <alignment vertical="center"/>
      <protection locked="0"/>
    </xf>
    <xf numFmtId="0" fontId="49" fillId="2" borderId="0" xfId="1" applyFont="1" applyFill="1" applyAlignment="1" applyProtection="1">
      <alignment vertical="center"/>
    </xf>
    <xf numFmtId="0" fontId="49" fillId="2" borderId="0" xfId="1" applyFont="1" applyFill="1" applyAlignment="1" applyProtection="1">
      <alignment horizontal="center" vertical="center" wrapText="1"/>
    </xf>
    <xf numFmtId="4" fontId="49" fillId="2" borderId="0" xfId="1" applyNumberFormat="1" applyFont="1" applyFill="1" applyAlignment="1" applyProtection="1">
      <alignment vertical="center"/>
    </xf>
    <xf numFmtId="3" fontId="48" fillId="2" borderId="0" xfId="1" applyNumberFormat="1" applyFont="1" applyFill="1" applyBorder="1" applyAlignment="1" applyProtection="1">
      <alignment vertical="center"/>
    </xf>
    <xf numFmtId="3" fontId="47" fillId="2" borderId="0" xfId="1" applyNumberFormat="1" applyFont="1" applyFill="1" applyBorder="1" applyAlignment="1" applyProtection="1">
      <alignment horizontal="right" vertical="center"/>
    </xf>
    <xf numFmtId="0" fontId="19" fillId="2" borderId="6" xfId="1" applyFont="1" applyFill="1" applyBorder="1" applyAlignment="1" applyProtection="1">
      <alignment horizontal="center" vertical="center" wrapText="1"/>
    </xf>
    <xf numFmtId="0" fontId="38" fillId="2" borderId="1" xfId="1" applyFont="1" applyFill="1" applyBorder="1" applyAlignment="1" applyProtection="1">
      <alignment horizontal="center" vertical="center"/>
    </xf>
    <xf numFmtId="49" fontId="1" fillId="2" borderId="0" xfId="1" applyNumberFormat="1" applyFont="1" applyFill="1" applyAlignment="1" applyProtection="1">
      <alignment horizontal="center" vertical="center" wrapText="1"/>
    </xf>
    <xf numFmtId="49" fontId="2" fillId="2" borderId="0" xfId="1" applyNumberFormat="1" applyFont="1" applyFill="1" applyAlignment="1" applyProtection="1">
      <alignment horizontal="center" vertical="center" wrapText="1"/>
    </xf>
    <xf numFmtId="49" fontId="3" fillId="2" borderId="0" xfId="1" applyNumberFormat="1" applyFont="1" applyFill="1" applyAlignment="1" applyProtection="1">
      <alignment horizontal="center" vertical="center" wrapText="1"/>
    </xf>
    <xf numFmtId="49" fontId="4" fillId="2" borderId="0" xfId="1" applyNumberFormat="1" applyFont="1" applyFill="1" applyAlignment="1" applyProtection="1">
      <alignment horizontal="center" vertical="center" wrapText="1"/>
    </xf>
    <xf numFmtId="0" fontId="59" fillId="2" borderId="6" xfId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8" fillId="2" borderId="1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60" fillId="2" borderId="1" xfId="1" applyFont="1" applyFill="1" applyBorder="1" applyAlignment="1" applyProtection="1">
      <alignment horizontal="center" vertical="center"/>
    </xf>
    <xf numFmtId="49" fontId="8" fillId="2" borderId="2" xfId="1" applyNumberFormat="1" applyFont="1" applyFill="1" applyBorder="1" applyAlignment="1" applyProtection="1">
      <alignment horizontal="center" vertical="center" wrapText="1"/>
    </xf>
    <xf numFmtId="49" fontId="13" fillId="2" borderId="2" xfId="1" applyNumberFormat="1" applyFont="1" applyFill="1" applyBorder="1" applyAlignment="1" applyProtection="1">
      <alignment horizontal="center" vertical="top" wrapText="1"/>
    </xf>
    <xf numFmtId="49" fontId="14" fillId="2" borderId="2" xfId="1" applyNumberFormat="1" applyFont="1" applyFill="1" applyBorder="1" applyAlignment="1" applyProtection="1">
      <alignment horizontal="center" vertical="top" wrapText="1"/>
    </xf>
    <xf numFmtId="49" fontId="15" fillId="2" borderId="2" xfId="1" applyNumberFormat="1" applyFont="1" applyFill="1" applyBorder="1" applyAlignment="1" applyProtection="1">
      <alignment horizontal="center" vertical="top" wrapText="1"/>
    </xf>
    <xf numFmtId="49" fontId="8" fillId="2" borderId="2" xfId="1" applyNumberFormat="1" applyFont="1" applyFill="1" applyBorder="1" applyAlignment="1" applyProtection="1">
      <alignment horizontal="center"/>
    </xf>
    <xf numFmtId="49" fontId="4" fillId="2" borderId="3" xfId="1" applyNumberFormat="1" applyFont="1" applyFill="1" applyBorder="1" applyAlignment="1" applyProtection="1">
      <alignment horizontal="center"/>
    </xf>
    <xf numFmtId="0" fontId="8" fillId="2" borderId="4" xfId="1" applyFont="1" applyFill="1" applyBorder="1" applyAlignment="1" applyProtection="1">
      <alignment horizontal="center" vertical="center"/>
    </xf>
    <xf numFmtId="49" fontId="13" fillId="2" borderId="4" xfId="1" applyNumberFormat="1" applyFont="1" applyFill="1" applyBorder="1" applyAlignment="1" applyProtection="1">
      <alignment horizontal="center" vertical="center" wrapText="1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49" fontId="8" fillId="2" borderId="4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11" fillId="2" borderId="4" xfId="1" applyNumberFormat="1" applyFont="1" applyFill="1" applyBorder="1" applyAlignment="1" applyProtection="1">
      <alignment horizontal="center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8" fillId="2" borderId="4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49" fontId="14" fillId="2" borderId="4" xfId="1" applyNumberFormat="1" applyFont="1" applyFill="1" applyBorder="1" applyAlignment="1" applyProtection="1">
      <alignment horizontal="center" vertical="center" wrapText="1"/>
    </xf>
    <xf numFmtId="49" fontId="15" fillId="2" borderId="4" xfId="1" applyNumberFormat="1" applyFont="1" applyFill="1" applyBorder="1" applyAlignment="1" applyProtection="1">
      <alignment horizontal="center" vertical="top" wrapText="1"/>
    </xf>
    <xf numFmtId="49" fontId="18" fillId="2" borderId="5" xfId="1" applyNumberFormat="1" applyFont="1" applyFill="1" applyBorder="1" applyAlignment="1" applyProtection="1">
      <alignment horizontal="center" vertical="center" wrapText="1"/>
    </xf>
    <xf numFmtId="49" fontId="22" fillId="2" borderId="4" xfId="1" applyNumberFormat="1" applyFont="1" applyFill="1" applyBorder="1" applyAlignment="1" applyProtection="1">
      <alignment horizontal="left" vertical="center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8" fillId="2" borderId="5" xfId="1" applyNumberFormat="1" applyFont="1" applyFill="1" applyBorder="1" applyAlignment="1" applyProtection="1">
      <alignment horizontal="left" vertical="center" wrapText="1"/>
    </xf>
    <xf numFmtId="49" fontId="6" fillId="0" borderId="0" xfId="1" applyNumberFormat="1" applyFont="1" applyFill="1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8" fillId="2" borderId="6" xfId="1" applyNumberFormat="1" applyFont="1" applyFill="1" applyBorder="1" applyAlignment="1" applyProtection="1">
      <alignment horizontal="center" vertical="center" wrapText="1"/>
    </xf>
    <xf numFmtId="49" fontId="1" fillId="2" borderId="6" xfId="1" applyNumberFormat="1" applyFont="1" applyFill="1" applyBorder="1" applyAlignment="1" applyProtection="1">
      <alignment horizontal="center" vertical="center" wrapText="1"/>
    </xf>
    <xf numFmtId="0" fontId="9" fillId="2" borderId="7" xfId="1" applyFont="1" applyFill="1" applyBorder="1" applyAlignment="1" applyProtection="1">
      <alignment horizontal="center" vertical="center"/>
    </xf>
    <xf numFmtId="0" fontId="9" fillId="2" borderId="8" xfId="1" applyFont="1" applyFill="1" applyBorder="1" applyAlignment="1" applyProtection="1">
      <alignment horizontal="center" vertical="center"/>
    </xf>
    <xf numFmtId="49" fontId="24" fillId="0" borderId="0" xfId="1" applyNumberFormat="1" applyFont="1" applyFill="1" applyAlignment="1" applyProtection="1">
      <alignment horizontal="center"/>
    </xf>
    <xf numFmtId="49" fontId="10" fillId="0" borderId="0" xfId="1" applyNumberFormat="1" applyFont="1" applyFill="1" applyAlignment="1" applyProtection="1">
      <alignment horizontal="center" vertical="center" wrapText="1"/>
    </xf>
    <xf numFmtId="49" fontId="25" fillId="2" borderId="0" xfId="1" applyNumberFormat="1" applyFont="1" applyFill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 wrapText="1"/>
    </xf>
    <xf numFmtId="49" fontId="11" fillId="2" borderId="1" xfId="1" applyNumberFormat="1" applyFont="1" applyFill="1" applyBorder="1" applyAlignment="1" applyProtection="1">
      <alignment horizontal="center" vertical="center" wrapText="1"/>
    </xf>
    <xf numFmtId="49" fontId="19" fillId="0" borderId="0" xfId="1" applyNumberFormat="1" applyFont="1" applyFill="1" applyAlignment="1" applyProtection="1">
      <alignment horizontal="left" vertical="center"/>
    </xf>
    <xf numFmtId="49" fontId="19" fillId="0" borderId="0" xfId="1" applyNumberFormat="1" applyFont="1" applyFill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 vertical="center"/>
    </xf>
    <xf numFmtId="49" fontId="20" fillId="0" borderId="0" xfId="1" applyNumberFormat="1" applyFont="1" applyFill="1" applyAlignment="1" applyProtection="1">
      <alignment horizontal="left" wrapText="1"/>
    </xf>
    <xf numFmtId="49" fontId="6" fillId="0" borderId="0" xfId="1" applyNumberFormat="1" applyFont="1" applyFill="1" applyAlignment="1" applyProtection="1">
      <alignment horizontal="center"/>
    </xf>
    <xf numFmtId="0" fontId="6" fillId="0" borderId="0" xfId="1" applyFont="1" applyFill="1" applyAlignment="1" applyProtection="1">
      <alignment horizontal="center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8" fillId="0" borderId="6" xfId="1" applyNumberFormat="1" applyFont="1" applyFill="1" applyBorder="1" applyAlignment="1" applyProtection="1">
      <alignment horizontal="center" vertical="center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center" vertical="center"/>
    </xf>
    <xf numFmtId="49" fontId="25" fillId="0" borderId="0" xfId="1" applyNumberFormat="1" applyFont="1" applyFill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center" vertical="center" wrapText="1"/>
    </xf>
    <xf numFmtId="0" fontId="30" fillId="0" borderId="0" xfId="1" applyFont="1" applyFill="1" applyAlignment="1" applyProtection="1">
      <alignment horizontal="center" vertical="center" wrapText="1"/>
    </xf>
    <xf numFmtId="0" fontId="30" fillId="0" borderId="0" xfId="1" applyFont="1" applyFill="1" applyAlignment="1" applyProtection="1">
      <alignment horizontal="center" vertical="top"/>
    </xf>
    <xf numFmtId="0" fontId="39" fillId="0" borderId="11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171450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171450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171450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171450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171450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171450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171450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171450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_-_2003_Document10.doc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11.doc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12.emf"/><Relationship Id="rId4" Type="http://schemas.openxmlformats.org/officeDocument/2006/relationships/oleObject" Target="../embeddings/Microsoft_Word_97_-_2003_Document12.doc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13.emf"/><Relationship Id="rId4" Type="http://schemas.openxmlformats.org/officeDocument/2006/relationships/oleObject" Target="../embeddings/Microsoft_Word_97_-_2003_Document13.doc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2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4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5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6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7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8.doc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9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7"/>
  <sheetViews>
    <sheetView zoomScale="115" zoomScaleNormal="115" workbookViewId="0">
      <selection activeCell="A14" sqref="A14:H14"/>
    </sheetView>
  </sheetViews>
  <sheetFormatPr defaultRowHeight="12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226" customWidth="1"/>
    <col min="9" max="9" width="9.140625" style="5"/>
    <col min="10" max="10" width="10.5703125" style="5" customWidth="1"/>
    <col min="11" max="11" width="11.7109375" style="5" customWidth="1"/>
    <col min="12" max="16384" width="9.140625" style="5"/>
  </cols>
  <sheetData>
    <row r="1" spans="1:8" ht="16.5" customHeight="1">
      <c r="A1" s="1"/>
      <c r="B1" s="2"/>
      <c r="C1" s="3"/>
      <c r="D1" s="4"/>
      <c r="E1" s="4"/>
      <c r="F1" s="4"/>
    </row>
    <row r="2" spans="1:8" ht="14.25">
      <c r="A2" s="319"/>
      <c r="B2" s="319"/>
      <c r="C2" s="319"/>
      <c r="D2" s="319"/>
      <c r="E2" s="4"/>
      <c r="F2" s="4"/>
    </row>
    <row r="3" spans="1:8" ht="13.5" customHeight="1">
      <c r="A3" s="319"/>
      <c r="B3" s="319"/>
      <c r="C3" s="319"/>
      <c r="D3" s="319"/>
      <c r="E3" s="4"/>
      <c r="F3" s="4"/>
    </row>
    <row r="4" spans="1:8" ht="15" customHeight="1">
      <c r="A4" s="319"/>
      <c r="B4" s="319"/>
      <c r="C4" s="319"/>
      <c r="D4" s="319"/>
      <c r="E4" s="4"/>
      <c r="F4" s="4"/>
    </row>
    <row r="5" spans="1:8" ht="16.5" customHeight="1">
      <c r="A5" s="319"/>
      <c r="B5" s="319"/>
      <c r="C5" s="319"/>
      <c r="D5" s="319"/>
      <c r="E5" s="4"/>
      <c r="F5" s="4"/>
    </row>
    <row r="6" spans="1:8" ht="14.25">
      <c r="A6" s="319"/>
      <c r="B6" s="319"/>
      <c r="C6" s="319"/>
      <c r="D6" s="319"/>
      <c r="E6" s="4"/>
      <c r="F6" s="4"/>
    </row>
    <row r="7" spans="1:8" ht="13.5" customHeight="1">
      <c r="A7" s="1"/>
      <c r="B7" s="2"/>
      <c r="C7" s="3"/>
      <c r="D7" s="4"/>
      <c r="E7" s="4"/>
      <c r="F7" s="4"/>
    </row>
    <row r="8" spans="1:8" ht="13.5" customHeight="1">
      <c r="A8" s="1"/>
      <c r="B8" s="2"/>
      <c r="C8" s="3"/>
      <c r="D8" s="4"/>
      <c r="E8" s="4"/>
      <c r="F8" s="4"/>
    </row>
    <row r="9" spans="1:8" ht="13.5" customHeight="1">
      <c r="A9" s="1"/>
      <c r="B9" s="2"/>
      <c r="C9" s="3"/>
      <c r="D9" s="4"/>
      <c r="E9" s="4"/>
      <c r="F9" s="4"/>
    </row>
    <row r="10" spans="1:8">
      <c r="A10" s="1"/>
      <c r="B10" s="2"/>
      <c r="C10" s="3"/>
      <c r="D10" s="4"/>
      <c r="E10" s="4"/>
      <c r="F10" s="4"/>
    </row>
    <row r="11" spans="1:8" s="7" customFormat="1" ht="13.5" customHeight="1">
      <c r="A11" s="318"/>
      <c r="B11" s="318"/>
      <c r="C11" s="318"/>
      <c r="D11" s="318"/>
      <c r="E11" s="318"/>
      <c r="F11" s="318"/>
      <c r="G11" s="318"/>
      <c r="H11" s="227"/>
    </row>
    <row r="12" spans="1:8" s="7" customFormat="1" ht="13.5" customHeight="1">
      <c r="A12" s="318"/>
      <c r="B12" s="318"/>
      <c r="C12" s="318"/>
      <c r="D12" s="318"/>
      <c r="E12" s="4"/>
      <c r="F12" s="4"/>
      <c r="H12" s="227"/>
    </row>
    <row r="13" spans="1:8" s="7" customFormat="1" ht="24" customHeight="1">
      <c r="A13" s="1"/>
      <c r="B13" s="2"/>
      <c r="C13" s="3"/>
      <c r="D13" s="4"/>
      <c r="E13" s="4"/>
      <c r="F13" s="4"/>
      <c r="H13" s="228"/>
    </row>
    <row r="14" spans="1:8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</row>
    <row r="15" spans="1:8" s="7" customFormat="1" ht="3.75" customHeight="1">
      <c r="A15" s="326"/>
      <c r="B15" s="326"/>
      <c r="C15" s="326"/>
      <c r="D15" s="326"/>
      <c r="E15" s="326"/>
      <c r="F15" s="326"/>
      <c r="G15" s="326"/>
      <c r="H15" s="326"/>
    </row>
    <row r="16" spans="1:8" s="7" customFormat="1" ht="24" customHeight="1">
      <c r="A16" s="327" t="s">
        <v>331</v>
      </c>
      <c r="B16" s="327"/>
      <c r="C16" s="327"/>
      <c r="D16" s="327"/>
      <c r="E16" s="327"/>
      <c r="F16" s="327"/>
      <c r="G16" s="327"/>
      <c r="H16" s="327"/>
    </row>
    <row r="17" spans="1:11" s="7" customFormat="1" ht="12.75" customHeight="1">
      <c r="A17" s="287"/>
      <c r="B17" s="288"/>
      <c r="C17" s="289"/>
      <c r="D17" s="290"/>
      <c r="E17" s="290"/>
      <c r="F17" s="290"/>
      <c r="G17" s="328" t="s">
        <v>104</v>
      </c>
      <c r="H17" s="328"/>
    </row>
    <row r="18" spans="1:11" s="7" customFormat="1" ht="13.5" customHeight="1">
      <c r="A18" s="320" t="s">
        <v>0</v>
      </c>
      <c r="B18" s="320" t="s">
        <v>1</v>
      </c>
      <c r="C18" s="320"/>
      <c r="D18" s="320"/>
      <c r="E18" s="321" t="s">
        <v>2</v>
      </c>
      <c r="F18" s="322" t="s">
        <v>105</v>
      </c>
      <c r="G18" s="323" t="s">
        <v>3</v>
      </c>
      <c r="H18" s="324"/>
    </row>
    <row r="19" spans="1:11" s="7" customFormat="1" ht="37.5" customHeight="1">
      <c r="A19" s="320"/>
      <c r="B19" s="320"/>
      <c r="C19" s="320"/>
      <c r="D19" s="320"/>
      <c r="E19" s="321"/>
      <c r="F19" s="322"/>
      <c r="G19" s="273" t="s">
        <v>4</v>
      </c>
      <c r="H19" s="291" t="s">
        <v>5</v>
      </c>
    </row>
    <row r="20" spans="1:11" s="7" customFormat="1" ht="12" customHeight="1" thickBot="1">
      <c r="A20" s="292" t="s">
        <v>6</v>
      </c>
      <c r="B20" s="329" t="s">
        <v>7</v>
      </c>
      <c r="C20" s="329"/>
      <c r="D20" s="329"/>
      <c r="E20" s="293" t="s">
        <v>8</v>
      </c>
      <c r="F20" s="294" t="s">
        <v>9</v>
      </c>
      <c r="G20" s="274">
        <v>5</v>
      </c>
      <c r="H20" s="295">
        <v>6</v>
      </c>
    </row>
    <row r="21" spans="1:11" s="24" customFormat="1" ht="24.75" customHeight="1" thickTop="1">
      <c r="A21" s="296"/>
      <c r="B21" s="297" t="s">
        <v>10</v>
      </c>
      <c r="C21" s="298"/>
      <c r="D21" s="299" t="s">
        <v>11</v>
      </c>
      <c r="E21" s="300"/>
      <c r="F21" s="301"/>
      <c r="G21" s="275"/>
      <c r="H21" s="241"/>
    </row>
    <row r="22" spans="1:11" ht="31.5" customHeight="1">
      <c r="A22" s="302"/>
      <c r="B22" s="303"/>
      <c r="C22" s="303" t="s">
        <v>12</v>
      </c>
      <c r="D22" s="304" t="s">
        <v>291</v>
      </c>
      <c r="E22" s="305" t="s">
        <v>106</v>
      </c>
      <c r="F22" s="306"/>
      <c r="G22" s="41">
        <f>G23+G30+G35+G36</f>
        <v>1204840</v>
      </c>
      <c r="H22" s="184"/>
      <c r="J22" s="32"/>
    </row>
    <row r="23" spans="1:11" ht="25.5" customHeight="1">
      <c r="A23" s="305"/>
      <c r="B23" s="307"/>
      <c r="C23" s="307"/>
      <c r="D23" s="304" t="s">
        <v>292</v>
      </c>
      <c r="E23" s="305" t="s">
        <v>107</v>
      </c>
      <c r="F23" s="308"/>
      <c r="G23" s="83">
        <f>G24+G25-G26-G27-G28+G29</f>
        <v>1204737</v>
      </c>
      <c r="H23" s="185"/>
      <c r="J23" s="32"/>
      <c r="K23" s="38"/>
    </row>
    <row r="24" spans="1:11" ht="25.5" customHeight="1">
      <c r="A24" s="305" t="s">
        <v>320</v>
      </c>
      <c r="B24" s="307"/>
      <c r="C24" s="307"/>
      <c r="D24" s="309" t="s">
        <v>13</v>
      </c>
      <c r="E24" s="305" t="s">
        <v>108</v>
      </c>
      <c r="F24" s="306"/>
      <c r="G24" s="189">
        <v>1209898</v>
      </c>
      <c r="H24" s="186"/>
      <c r="J24" s="32"/>
    </row>
    <row r="25" spans="1:11" ht="27" customHeight="1">
      <c r="A25" s="305" t="s">
        <v>321</v>
      </c>
      <c r="B25" s="307"/>
      <c r="C25" s="307"/>
      <c r="D25" s="309" t="s">
        <v>14</v>
      </c>
      <c r="E25" s="305" t="s">
        <v>109</v>
      </c>
      <c r="F25" s="306"/>
      <c r="G25" s="189">
        <v>0</v>
      </c>
      <c r="H25" s="186"/>
      <c r="J25" s="32"/>
    </row>
    <row r="26" spans="1:11" ht="27" customHeight="1">
      <c r="A26" s="305" t="s">
        <v>15</v>
      </c>
      <c r="B26" s="307"/>
      <c r="C26" s="307"/>
      <c r="D26" s="309" t="s">
        <v>16</v>
      </c>
      <c r="E26" s="305" t="s">
        <v>110</v>
      </c>
      <c r="F26" s="306"/>
      <c r="G26" s="189">
        <v>0</v>
      </c>
      <c r="H26" s="186"/>
      <c r="J26" s="32"/>
      <c r="K26" s="38"/>
    </row>
    <row r="27" spans="1:11" ht="25.5" customHeight="1">
      <c r="A27" s="305" t="s">
        <v>15</v>
      </c>
      <c r="B27" s="307"/>
      <c r="C27" s="307"/>
      <c r="D27" s="309" t="s">
        <v>17</v>
      </c>
      <c r="E27" s="305" t="s">
        <v>111</v>
      </c>
      <c r="F27" s="306"/>
      <c r="G27" s="189">
        <v>5161</v>
      </c>
      <c r="H27" s="186"/>
      <c r="J27" s="32"/>
    </row>
    <row r="28" spans="1:11" ht="25.5">
      <c r="A28" s="305" t="s">
        <v>18</v>
      </c>
      <c r="B28" s="307"/>
      <c r="C28" s="307"/>
      <c r="D28" s="309" t="s">
        <v>112</v>
      </c>
      <c r="E28" s="305" t="s">
        <v>114</v>
      </c>
      <c r="F28" s="306"/>
      <c r="G28" s="189">
        <v>0</v>
      </c>
      <c r="H28" s="186"/>
      <c r="J28" s="32"/>
    </row>
    <row r="29" spans="1:11" ht="25.5">
      <c r="A29" s="305" t="s">
        <v>18</v>
      </c>
      <c r="B29" s="307"/>
      <c r="C29" s="307"/>
      <c r="D29" s="309" t="s">
        <v>113</v>
      </c>
      <c r="E29" s="305" t="s">
        <v>115</v>
      </c>
      <c r="F29" s="306"/>
      <c r="G29" s="189">
        <v>0</v>
      </c>
      <c r="H29" s="186"/>
      <c r="J29" s="32"/>
    </row>
    <row r="30" spans="1:11" ht="38.25" customHeight="1">
      <c r="A30" s="305"/>
      <c r="B30" s="307"/>
      <c r="C30" s="307"/>
      <c r="D30" s="304" t="s">
        <v>293</v>
      </c>
      <c r="E30" s="305" t="s">
        <v>116</v>
      </c>
      <c r="F30" s="308"/>
      <c r="G30" s="83">
        <f>G31-G32-G33+G34</f>
        <v>0</v>
      </c>
      <c r="H30" s="185"/>
      <c r="J30" s="32"/>
    </row>
    <row r="31" spans="1:11" ht="23.25" customHeight="1">
      <c r="A31" s="305" t="s">
        <v>19</v>
      </c>
      <c r="B31" s="307"/>
      <c r="C31" s="307"/>
      <c r="D31" s="309" t="s">
        <v>20</v>
      </c>
      <c r="E31" s="305" t="s">
        <v>117</v>
      </c>
      <c r="F31" s="306"/>
      <c r="G31" s="189">
        <v>0</v>
      </c>
      <c r="H31" s="186"/>
      <c r="J31" s="32"/>
    </row>
    <row r="32" spans="1:11" ht="27" customHeight="1">
      <c r="A32" s="305" t="s">
        <v>21</v>
      </c>
      <c r="B32" s="307"/>
      <c r="C32" s="307"/>
      <c r="D32" s="309" t="s">
        <v>323</v>
      </c>
      <c r="E32" s="305" t="s">
        <v>118</v>
      </c>
      <c r="F32" s="306"/>
      <c r="G32" s="189">
        <v>0</v>
      </c>
      <c r="H32" s="186"/>
      <c r="J32" s="32"/>
    </row>
    <row r="33" spans="1:10" ht="25.5" customHeight="1">
      <c r="A33" s="305" t="s">
        <v>18</v>
      </c>
      <c r="B33" s="307"/>
      <c r="C33" s="307"/>
      <c r="D33" s="309" t="s">
        <v>324</v>
      </c>
      <c r="E33" s="305" t="s">
        <v>119</v>
      </c>
      <c r="F33" s="306"/>
      <c r="G33" s="189">
        <v>0</v>
      </c>
      <c r="H33" s="186"/>
      <c r="J33" s="32"/>
    </row>
    <row r="34" spans="1:10" ht="25.5" customHeight="1">
      <c r="A34" s="305" t="s">
        <v>18</v>
      </c>
      <c r="B34" s="307"/>
      <c r="C34" s="307"/>
      <c r="D34" s="309" t="s">
        <v>325</v>
      </c>
      <c r="E34" s="305" t="s">
        <v>120</v>
      </c>
      <c r="F34" s="306"/>
      <c r="G34" s="189">
        <v>0</v>
      </c>
      <c r="H34" s="186"/>
      <c r="J34" s="32"/>
    </row>
    <row r="35" spans="1:10" ht="25.5">
      <c r="A35" s="305" t="s">
        <v>123</v>
      </c>
      <c r="B35" s="307"/>
      <c r="C35" s="307"/>
      <c r="D35" s="304" t="s">
        <v>121</v>
      </c>
      <c r="E35" s="305" t="s">
        <v>122</v>
      </c>
      <c r="F35" s="308"/>
      <c r="G35" s="83">
        <v>0</v>
      </c>
      <c r="H35" s="185"/>
      <c r="J35" s="32"/>
    </row>
    <row r="36" spans="1:10" ht="38.25">
      <c r="A36" s="305" t="s">
        <v>125</v>
      </c>
      <c r="B36" s="307"/>
      <c r="C36" s="307"/>
      <c r="D36" s="304" t="s">
        <v>124</v>
      </c>
      <c r="E36" s="305" t="s">
        <v>126</v>
      </c>
      <c r="F36" s="308"/>
      <c r="G36" s="83">
        <v>103</v>
      </c>
      <c r="H36" s="185"/>
      <c r="J36" s="32"/>
    </row>
    <row r="37" spans="1:10" ht="33" customHeight="1">
      <c r="A37" s="302"/>
      <c r="B37" s="303"/>
      <c r="C37" s="303" t="s">
        <v>22</v>
      </c>
      <c r="D37" s="304" t="s">
        <v>294</v>
      </c>
      <c r="E37" s="305" t="s">
        <v>127</v>
      </c>
      <c r="F37" s="306"/>
      <c r="G37" s="41">
        <f>G38+G47+G55-G56-G65+G66-G67+G68+G69</f>
        <v>987221</v>
      </c>
      <c r="H37" s="184"/>
      <c r="J37" s="32"/>
    </row>
    <row r="38" spans="1:10" ht="32.25" customHeight="1">
      <c r="A38" s="305"/>
      <c r="B38" s="307"/>
      <c r="C38" s="307"/>
      <c r="D38" s="304" t="s">
        <v>295</v>
      </c>
      <c r="E38" s="305" t="s">
        <v>128</v>
      </c>
      <c r="F38" s="308"/>
      <c r="G38" s="83">
        <f>G39+G40+G41+G42+G43+G44+G45+G46</f>
        <v>443898</v>
      </c>
      <c r="H38" s="185"/>
      <c r="J38" s="32"/>
    </row>
    <row r="39" spans="1:10" ht="27" customHeight="1">
      <c r="A39" s="305" t="s">
        <v>23</v>
      </c>
      <c r="B39" s="307"/>
      <c r="C39" s="307"/>
      <c r="D39" s="309" t="s">
        <v>129</v>
      </c>
      <c r="E39" s="305" t="s">
        <v>130</v>
      </c>
      <c r="F39" s="306"/>
      <c r="G39" s="189">
        <v>443898</v>
      </c>
      <c r="H39" s="186"/>
      <c r="J39" s="32"/>
    </row>
    <row r="40" spans="1:10" ht="25.5" customHeight="1">
      <c r="A40" s="305" t="s">
        <v>133</v>
      </c>
      <c r="B40" s="307"/>
      <c r="C40" s="307"/>
      <c r="D40" s="309" t="s">
        <v>131</v>
      </c>
      <c r="E40" s="305" t="s">
        <v>132</v>
      </c>
      <c r="F40" s="306"/>
      <c r="G40" s="189">
        <v>0</v>
      </c>
      <c r="H40" s="186"/>
      <c r="J40" s="32"/>
    </row>
    <row r="41" spans="1:10" ht="17.100000000000001" customHeight="1">
      <c r="A41" s="305" t="s">
        <v>24</v>
      </c>
      <c r="B41" s="307"/>
      <c r="C41" s="307"/>
      <c r="D41" s="309" t="s">
        <v>25</v>
      </c>
      <c r="E41" s="305" t="s">
        <v>134</v>
      </c>
      <c r="F41" s="306"/>
      <c r="G41" s="189">
        <v>0</v>
      </c>
      <c r="H41" s="186"/>
      <c r="J41" s="32"/>
    </row>
    <row r="42" spans="1:10" ht="17.100000000000001" customHeight="1">
      <c r="A42" s="305" t="s">
        <v>26</v>
      </c>
      <c r="B42" s="303"/>
      <c r="C42" s="307"/>
      <c r="D42" s="309" t="s">
        <v>135</v>
      </c>
      <c r="E42" s="305" t="s">
        <v>136</v>
      </c>
      <c r="F42" s="306"/>
      <c r="G42" s="189">
        <v>0</v>
      </c>
      <c r="H42" s="186"/>
      <c r="J42" s="32"/>
    </row>
    <row r="43" spans="1:10" ht="17.100000000000001" customHeight="1">
      <c r="A43" s="305" t="s">
        <v>27</v>
      </c>
      <c r="B43" s="307"/>
      <c r="C43" s="307"/>
      <c r="D43" s="309" t="s">
        <v>28</v>
      </c>
      <c r="E43" s="305" t="s">
        <v>137</v>
      </c>
      <c r="F43" s="306"/>
      <c r="G43" s="189">
        <v>0</v>
      </c>
      <c r="H43" s="186"/>
      <c r="J43" s="32"/>
    </row>
    <row r="44" spans="1:10" ht="17.100000000000001" customHeight="1">
      <c r="A44" s="305" t="s">
        <v>29</v>
      </c>
      <c r="B44" s="307"/>
      <c r="C44" s="307"/>
      <c r="D44" s="309" t="s">
        <v>30</v>
      </c>
      <c r="E44" s="305" t="s">
        <v>138</v>
      </c>
      <c r="F44" s="306"/>
      <c r="G44" s="189">
        <v>0</v>
      </c>
      <c r="H44" s="186"/>
      <c r="J44" s="32"/>
    </row>
    <row r="45" spans="1:10" ht="38.25">
      <c r="A45" s="305" t="s">
        <v>139</v>
      </c>
      <c r="B45" s="307"/>
      <c r="C45" s="307"/>
      <c r="D45" s="309" t="s">
        <v>140</v>
      </c>
      <c r="E45" s="305" t="s">
        <v>141</v>
      </c>
      <c r="F45" s="306"/>
      <c r="G45" s="189">
        <v>0</v>
      </c>
      <c r="H45" s="186"/>
      <c r="J45" s="32"/>
    </row>
    <row r="46" spans="1:10" ht="25.5" customHeight="1">
      <c r="A46" s="305" t="s">
        <v>31</v>
      </c>
      <c r="B46" s="303"/>
      <c r="C46" s="307"/>
      <c r="D46" s="309" t="s">
        <v>142</v>
      </c>
      <c r="E46" s="305" t="s">
        <v>143</v>
      </c>
      <c r="F46" s="306"/>
      <c r="G46" s="189">
        <v>0</v>
      </c>
      <c r="H46" s="186"/>
      <c r="J46" s="32"/>
    </row>
    <row r="47" spans="1:10" ht="27.75" customHeight="1">
      <c r="A47" s="305"/>
      <c r="B47" s="307"/>
      <c r="C47" s="307"/>
      <c r="D47" s="304" t="s">
        <v>296</v>
      </c>
      <c r="E47" s="305" t="s">
        <v>144</v>
      </c>
      <c r="F47" s="308"/>
      <c r="G47" s="83">
        <f>G48+G49+G50+G51+G52-G53-G54</f>
        <v>552361</v>
      </c>
      <c r="H47" s="185"/>
      <c r="J47" s="32"/>
    </row>
    <row r="48" spans="1:10" ht="25.5" customHeight="1">
      <c r="A48" s="305" t="s">
        <v>145</v>
      </c>
      <c r="B48" s="307"/>
      <c r="C48" s="307"/>
      <c r="D48" s="309" t="s">
        <v>32</v>
      </c>
      <c r="E48" s="305" t="s">
        <v>146</v>
      </c>
      <c r="F48" s="306"/>
      <c r="G48" s="189">
        <f>552351-1</f>
        <v>552350</v>
      </c>
      <c r="H48" s="186"/>
      <c r="J48" s="32"/>
    </row>
    <row r="49" spans="1:10" ht="14.25" customHeight="1">
      <c r="A49" s="305" t="s">
        <v>147</v>
      </c>
      <c r="B49" s="307"/>
      <c r="C49" s="307"/>
      <c r="D49" s="309" t="s">
        <v>33</v>
      </c>
      <c r="E49" s="305" t="s">
        <v>148</v>
      </c>
      <c r="F49" s="306"/>
      <c r="G49" s="189">
        <v>0</v>
      </c>
      <c r="H49" s="186"/>
      <c r="J49" s="32"/>
    </row>
    <row r="50" spans="1:10" ht="25.5" customHeight="1">
      <c r="A50" s="305" t="s">
        <v>34</v>
      </c>
      <c r="B50" s="307"/>
      <c r="C50" s="307"/>
      <c r="D50" s="309" t="s">
        <v>35</v>
      </c>
      <c r="E50" s="305" t="s">
        <v>149</v>
      </c>
      <c r="F50" s="306"/>
      <c r="G50" s="189">
        <v>0</v>
      </c>
      <c r="H50" s="186"/>
      <c r="J50" s="32"/>
    </row>
    <row r="51" spans="1:10" ht="25.5" customHeight="1">
      <c r="A51" s="305" t="s">
        <v>34</v>
      </c>
      <c r="B51" s="307"/>
      <c r="C51" s="307"/>
      <c r="D51" s="309" t="s">
        <v>36</v>
      </c>
      <c r="E51" s="305" t="s">
        <v>150</v>
      </c>
      <c r="F51" s="306"/>
      <c r="G51" s="189">
        <v>0</v>
      </c>
      <c r="H51" s="186"/>
      <c r="J51" s="32"/>
    </row>
    <row r="52" spans="1:10" ht="24" customHeight="1">
      <c r="A52" s="305" t="s">
        <v>37</v>
      </c>
      <c r="B52" s="307"/>
      <c r="C52" s="307"/>
      <c r="D52" s="309" t="s">
        <v>38</v>
      </c>
      <c r="E52" s="305" t="s">
        <v>151</v>
      </c>
      <c r="F52" s="306"/>
      <c r="G52" s="189">
        <f>11</f>
        <v>11</v>
      </c>
      <c r="H52" s="186"/>
      <c r="J52" s="32"/>
    </row>
    <row r="53" spans="1:10" ht="25.5" customHeight="1">
      <c r="A53" s="305" t="s">
        <v>153</v>
      </c>
      <c r="B53" s="307"/>
      <c r="C53" s="307"/>
      <c r="D53" s="309" t="s">
        <v>39</v>
      </c>
      <c r="E53" s="305" t="s">
        <v>152</v>
      </c>
      <c r="F53" s="306"/>
      <c r="G53" s="189">
        <v>0</v>
      </c>
      <c r="H53" s="186"/>
      <c r="J53" s="32"/>
    </row>
    <row r="54" spans="1:10" ht="38.25" customHeight="1">
      <c r="A54" s="305" t="s">
        <v>155</v>
      </c>
      <c r="B54" s="307"/>
      <c r="C54" s="307"/>
      <c r="D54" s="309" t="s">
        <v>101</v>
      </c>
      <c r="E54" s="305" t="s">
        <v>154</v>
      </c>
      <c r="F54" s="306"/>
      <c r="G54" s="189">
        <v>0</v>
      </c>
      <c r="H54" s="186"/>
      <c r="J54" s="32"/>
    </row>
    <row r="55" spans="1:10" ht="25.5">
      <c r="A55" s="305"/>
      <c r="B55" s="307"/>
      <c r="C55" s="307"/>
      <c r="D55" s="304" t="s">
        <v>297</v>
      </c>
      <c r="E55" s="305" t="s">
        <v>156</v>
      </c>
      <c r="F55" s="308"/>
      <c r="G55" s="83">
        <f>IF((G57-G58+G59-G60+G61-G62+G63-G64)&gt;0,(G57-G58+G59-G60+G61-G62+G63-G64),0)</f>
        <v>0</v>
      </c>
      <c r="H55" s="185"/>
      <c r="J55" s="32"/>
    </row>
    <row r="56" spans="1:10" ht="25.5">
      <c r="A56" s="305"/>
      <c r="B56" s="307"/>
      <c r="C56" s="307"/>
      <c r="D56" s="304" t="s">
        <v>298</v>
      </c>
      <c r="E56" s="305" t="s">
        <v>157</v>
      </c>
      <c r="F56" s="308"/>
      <c r="G56" s="190">
        <f>IF((G57-G58+G59-G60+G61-G62+G63-G64)&lt;0,-(G57-G58+G59-G60+G61-G62+G63-G64),0)</f>
        <v>2639</v>
      </c>
      <c r="H56" s="187"/>
      <c r="J56" s="32"/>
    </row>
    <row r="57" spans="1:10" ht="15" customHeight="1">
      <c r="A57" s="305" t="s">
        <v>40</v>
      </c>
      <c r="B57" s="307"/>
      <c r="C57" s="307"/>
      <c r="D57" s="309" t="s">
        <v>158</v>
      </c>
      <c r="E57" s="305" t="s">
        <v>165</v>
      </c>
      <c r="F57" s="306"/>
      <c r="G57" s="189">
        <f>1529</f>
        <v>1529</v>
      </c>
      <c r="H57" s="186"/>
      <c r="J57" s="32"/>
    </row>
    <row r="58" spans="1:10" ht="13.5" customHeight="1">
      <c r="A58" s="305" t="s">
        <v>41</v>
      </c>
      <c r="B58" s="307"/>
      <c r="C58" s="307"/>
      <c r="D58" s="309" t="s">
        <v>159</v>
      </c>
      <c r="E58" s="305" t="s">
        <v>166</v>
      </c>
      <c r="F58" s="306"/>
      <c r="G58" s="189">
        <v>4168</v>
      </c>
      <c r="H58" s="186"/>
      <c r="J58" s="32"/>
    </row>
    <row r="59" spans="1:10" ht="16.5" customHeight="1">
      <c r="A59" s="305" t="s">
        <v>42</v>
      </c>
      <c r="B59" s="307"/>
      <c r="C59" s="307"/>
      <c r="D59" s="309" t="s">
        <v>160</v>
      </c>
      <c r="E59" s="305" t="s">
        <v>167</v>
      </c>
      <c r="F59" s="306"/>
      <c r="G59" s="189">
        <v>0</v>
      </c>
      <c r="H59" s="186"/>
      <c r="J59" s="32"/>
    </row>
    <row r="60" spans="1:10" ht="12.75" customHeight="1">
      <c r="A60" s="305" t="s">
        <v>43</v>
      </c>
      <c r="B60" s="307"/>
      <c r="C60" s="307"/>
      <c r="D60" s="309" t="s">
        <v>161</v>
      </c>
      <c r="E60" s="305" t="s">
        <v>168</v>
      </c>
      <c r="F60" s="306"/>
      <c r="G60" s="189">
        <v>0</v>
      </c>
      <c r="H60" s="186"/>
      <c r="J60" s="32"/>
    </row>
    <row r="61" spans="1:10" ht="27" customHeight="1">
      <c r="A61" s="305" t="s">
        <v>44</v>
      </c>
      <c r="B61" s="307"/>
      <c r="C61" s="307"/>
      <c r="D61" s="309" t="s">
        <v>162</v>
      </c>
      <c r="E61" s="305" t="s">
        <v>169</v>
      </c>
      <c r="F61" s="306"/>
      <c r="G61" s="189">
        <v>0</v>
      </c>
      <c r="H61" s="186"/>
      <c r="J61" s="32"/>
    </row>
    <row r="62" spans="1:10" ht="30" customHeight="1">
      <c r="A62" s="305" t="s">
        <v>45</v>
      </c>
      <c r="B62" s="307"/>
      <c r="C62" s="307"/>
      <c r="D62" s="309" t="s">
        <v>163</v>
      </c>
      <c r="E62" s="305" t="s">
        <v>170</v>
      </c>
      <c r="F62" s="306"/>
      <c r="G62" s="189">
        <v>0</v>
      </c>
      <c r="H62" s="186"/>
      <c r="J62" s="32"/>
    </row>
    <row r="63" spans="1:10" ht="38.25" customHeight="1">
      <c r="A63" s="305" t="s">
        <v>46</v>
      </c>
      <c r="B63" s="307"/>
      <c r="C63" s="307"/>
      <c r="D63" s="309" t="s">
        <v>47</v>
      </c>
      <c r="E63" s="305" t="s">
        <v>171</v>
      </c>
      <c r="F63" s="306"/>
      <c r="G63" s="189">
        <v>0</v>
      </c>
      <c r="H63" s="186"/>
      <c r="J63" s="32"/>
    </row>
    <row r="64" spans="1:10" ht="25.5" customHeight="1">
      <c r="A64" s="305" t="s">
        <v>164</v>
      </c>
      <c r="B64" s="307"/>
      <c r="C64" s="307"/>
      <c r="D64" s="309" t="s">
        <v>48</v>
      </c>
      <c r="E64" s="305" t="s">
        <v>172</v>
      </c>
      <c r="F64" s="306"/>
      <c r="G64" s="189">
        <v>0</v>
      </c>
      <c r="H64" s="186"/>
      <c r="J64" s="32"/>
    </row>
    <row r="65" spans="1:10" ht="25.5">
      <c r="A65" s="305" t="s">
        <v>322</v>
      </c>
      <c r="B65" s="307"/>
      <c r="C65" s="307"/>
      <c r="D65" s="304" t="s">
        <v>173</v>
      </c>
      <c r="E65" s="305" t="s">
        <v>174</v>
      </c>
      <c r="F65" s="308"/>
      <c r="G65" s="83">
        <v>0</v>
      </c>
      <c r="H65" s="185"/>
      <c r="J65" s="32"/>
    </row>
    <row r="66" spans="1:10" ht="25.5" customHeight="1">
      <c r="A66" s="305" t="s">
        <v>49</v>
      </c>
      <c r="B66" s="307"/>
      <c r="C66" s="307"/>
      <c r="D66" s="304" t="s">
        <v>50</v>
      </c>
      <c r="E66" s="305" t="s">
        <v>176</v>
      </c>
      <c r="F66" s="308"/>
      <c r="G66" s="83">
        <v>0</v>
      </c>
      <c r="H66" s="185"/>
      <c r="J66" s="32"/>
    </row>
    <row r="67" spans="1:10" ht="25.5">
      <c r="A67" s="305" t="s">
        <v>175</v>
      </c>
      <c r="B67" s="307"/>
      <c r="C67" s="307"/>
      <c r="D67" s="304" t="s">
        <v>51</v>
      </c>
      <c r="E67" s="305" t="s">
        <v>177</v>
      </c>
      <c r="F67" s="308"/>
      <c r="G67" s="83">
        <v>6399</v>
      </c>
      <c r="H67" s="185"/>
      <c r="J67" s="32"/>
    </row>
    <row r="68" spans="1:10" ht="36.75" customHeight="1">
      <c r="A68" s="305" t="s">
        <v>52</v>
      </c>
      <c r="B68" s="307"/>
      <c r="C68" s="307"/>
      <c r="D68" s="304" t="s">
        <v>53</v>
      </c>
      <c r="E68" s="305" t="s">
        <v>178</v>
      </c>
      <c r="F68" s="308"/>
      <c r="G68" s="83">
        <v>0</v>
      </c>
      <c r="H68" s="185"/>
      <c r="J68" s="32"/>
    </row>
    <row r="69" spans="1:10" ht="22.5" customHeight="1">
      <c r="A69" s="305" t="s">
        <v>181</v>
      </c>
      <c r="B69" s="307"/>
      <c r="C69" s="307"/>
      <c r="D69" s="304" t="s">
        <v>179</v>
      </c>
      <c r="E69" s="305" t="s">
        <v>180</v>
      </c>
      <c r="F69" s="308"/>
      <c r="G69" s="83">
        <v>0</v>
      </c>
      <c r="H69" s="185"/>
      <c r="J69" s="32"/>
    </row>
    <row r="70" spans="1:10" ht="13.5">
      <c r="A70" s="302"/>
      <c r="B70" s="303"/>
      <c r="C70" s="303" t="s">
        <v>54</v>
      </c>
      <c r="D70" s="304" t="s">
        <v>299</v>
      </c>
      <c r="E70" s="305" t="s">
        <v>182</v>
      </c>
      <c r="F70" s="306"/>
      <c r="G70" s="41">
        <f>IF((G22-G37)&gt;0,(G22-G37),0)</f>
        <v>217619</v>
      </c>
      <c r="H70" s="184"/>
      <c r="J70" s="32"/>
    </row>
    <row r="71" spans="1:10" ht="13.5">
      <c r="A71" s="302"/>
      <c r="B71" s="303"/>
      <c r="C71" s="303" t="s">
        <v>55</v>
      </c>
      <c r="D71" s="304" t="s">
        <v>300</v>
      </c>
      <c r="E71" s="305" t="s">
        <v>183</v>
      </c>
      <c r="F71" s="306"/>
      <c r="G71" s="41">
        <f>IF((G22-G37)&lt;0,-(G22-G37),0)</f>
        <v>0</v>
      </c>
      <c r="H71" s="184"/>
      <c r="J71" s="32"/>
    </row>
    <row r="72" spans="1:10" ht="25.5">
      <c r="A72" s="302"/>
      <c r="B72" s="303" t="s">
        <v>56</v>
      </c>
      <c r="C72" s="303"/>
      <c r="D72" s="310" t="s">
        <v>301</v>
      </c>
      <c r="E72" s="305"/>
      <c r="F72" s="306"/>
      <c r="G72" s="41"/>
      <c r="H72" s="184"/>
      <c r="J72" s="32"/>
    </row>
    <row r="73" spans="1:10" ht="25.5">
      <c r="A73" s="302"/>
      <c r="B73" s="303"/>
      <c r="C73" s="303" t="s">
        <v>12</v>
      </c>
      <c r="D73" s="304" t="s">
        <v>302</v>
      </c>
      <c r="E73" s="305" t="s">
        <v>184</v>
      </c>
      <c r="F73" s="306"/>
      <c r="G73" s="41">
        <f>G74+G75+G79+G80+G81+G82+G83</f>
        <v>228709</v>
      </c>
      <c r="H73" s="184"/>
      <c r="J73" s="32"/>
    </row>
    <row r="74" spans="1:10" ht="25.5">
      <c r="A74" s="311" t="s">
        <v>185</v>
      </c>
      <c r="B74" s="303"/>
      <c r="C74" s="303"/>
      <c r="D74" s="304" t="s">
        <v>186</v>
      </c>
      <c r="E74" s="305" t="s">
        <v>187</v>
      </c>
      <c r="F74" s="306"/>
      <c r="G74" s="108">
        <f>401+1</f>
        <v>402</v>
      </c>
      <c r="H74" s="186"/>
      <c r="J74" s="32"/>
    </row>
    <row r="75" spans="1:10" ht="15.75" customHeight="1">
      <c r="A75" s="302"/>
      <c r="B75" s="303"/>
      <c r="C75" s="303"/>
      <c r="D75" s="309" t="s">
        <v>188</v>
      </c>
      <c r="E75" s="305" t="s">
        <v>190</v>
      </c>
      <c r="F75" s="306"/>
      <c r="G75" s="108">
        <v>20361</v>
      </c>
      <c r="H75" s="186"/>
      <c r="J75" s="32"/>
    </row>
    <row r="76" spans="1:10" ht="15.75" customHeight="1">
      <c r="A76" s="302" t="s">
        <v>192</v>
      </c>
      <c r="B76" s="303"/>
      <c r="C76" s="303"/>
      <c r="D76" s="309" t="s">
        <v>189</v>
      </c>
      <c r="E76" s="305" t="s">
        <v>191</v>
      </c>
      <c r="F76" s="306"/>
      <c r="G76" s="108">
        <v>6352</v>
      </c>
      <c r="H76" s="186"/>
      <c r="J76" s="32"/>
    </row>
    <row r="77" spans="1:10" ht="25.5">
      <c r="A77" s="302" t="s">
        <v>194</v>
      </c>
      <c r="B77" s="303"/>
      <c r="C77" s="303"/>
      <c r="D77" s="309" t="s">
        <v>193</v>
      </c>
      <c r="E77" s="305" t="s">
        <v>195</v>
      </c>
      <c r="F77" s="306"/>
      <c r="G77" s="108">
        <v>13958</v>
      </c>
      <c r="H77" s="186"/>
      <c r="J77" s="32"/>
    </row>
    <row r="78" spans="1:10" ht="13.5">
      <c r="A78" s="302" t="s">
        <v>198</v>
      </c>
      <c r="B78" s="303"/>
      <c r="C78" s="303"/>
      <c r="D78" s="309" t="s">
        <v>196</v>
      </c>
      <c r="E78" s="305" t="s">
        <v>197</v>
      </c>
      <c r="F78" s="306"/>
      <c r="G78" s="108">
        <v>51</v>
      </c>
      <c r="H78" s="186"/>
      <c r="J78" s="32"/>
    </row>
    <row r="79" spans="1:10" ht="13.5">
      <c r="A79" s="302" t="s">
        <v>201</v>
      </c>
      <c r="B79" s="303"/>
      <c r="C79" s="303"/>
      <c r="D79" s="309" t="s">
        <v>199</v>
      </c>
      <c r="E79" s="305" t="s">
        <v>200</v>
      </c>
      <c r="F79" s="306"/>
      <c r="G79" s="108">
        <f>51651+1</f>
        <v>51652</v>
      </c>
      <c r="H79" s="186"/>
      <c r="J79" s="32"/>
    </row>
    <row r="80" spans="1:10" ht="25.5">
      <c r="A80" s="311" t="s">
        <v>204</v>
      </c>
      <c r="B80" s="303"/>
      <c r="C80" s="303"/>
      <c r="D80" s="309" t="s">
        <v>202</v>
      </c>
      <c r="E80" s="305" t="s">
        <v>203</v>
      </c>
      <c r="F80" s="306"/>
      <c r="G80" s="108">
        <v>84647</v>
      </c>
      <c r="H80" s="186"/>
      <c r="J80" s="32"/>
    </row>
    <row r="81" spans="1:10" ht="13.5">
      <c r="A81" s="302" t="s">
        <v>206</v>
      </c>
      <c r="B81" s="303"/>
      <c r="C81" s="303"/>
      <c r="D81" s="309" t="s">
        <v>205</v>
      </c>
      <c r="E81" s="305" t="s">
        <v>207</v>
      </c>
      <c r="F81" s="306"/>
      <c r="G81" s="108">
        <v>81</v>
      </c>
      <c r="H81" s="186"/>
      <c r="J81" s="32"/>
    </row>
    <row r="82" spans="1:10" ht="13.5">
      <c r="A82" s="302" t="s">
        <v>210</v>
      </c>
      <c r="B82" s="303"/>
      <c r="C82" s="303"/>
      <c r="D82" s="309" t="s">
        <v>208</v>
      </c>
      <c r="E82" s="305" t="s">
        <v>209</v>
      </c>
      <c r="F82" s="306"/>
      <c r="G82" s="108">
        <v>64227</v>
      </c>
      <c r="H82" s="186"/>
      <c r="J82" s="32"/>
    </row>
    <row r="83" spans="1:10" ht="50.25" customHeight="1">
      <c r="A83" s="311" t="s">
        <v>212</v>
      </c>
      <c r="B83" s="303"/>
      <c r="C83" s="303"/>
      <c r="D83" s="309" t="s">
        <v>211</v>
      </c>
      <c r="E83" s="305" t="s">
        <v>213</v>
      </c>
      <c r="F83" s="306"/>
      <c r="G83" s="108">
        <v>7339</v>
      </c>
      <c r="H83" s="186"/>
      <c r="J83" s="32"/>
    </row>
    <row r="84" spans="1:10" ht="25.5">
      <c r="A84" s="302"/>
      <c r="B84" s="303"/>
      <c r="C84" s="303" t="s">
        <v>22</v>
      </c>
      <c r="D84" s="304" t="s">
        <v>303</v>
      </c>
      <c r="E84" s="305" t="s">
        <v>214</v>
      </c>
      <c r="F84" s="306"/>
      <c r="G84" s="41">
        <f>G85+G86+G89+G90+G91+G92</f>
        <v>147673</v>
      </c>
      <c r="H84" s="184"/>
      <c r="J84" s="32"/>
    </row>
    <row r="85" spans="1:10" ht="25.5">
      <c r="A85" s="311" t="s">
        <v>216</v>
      </c>
      <c r="B85" s="307"/>
      <c r="C85" s="307"/>
      <c r="D85" s="309" t="s">
        <v>215</v>
      </c>
      <c r="E85" s="305" t="s">
        <v>217</v>
      </c>
      <c r="F85" s="306"/>
      <c r="G85" s="189">
        <v>0</v>
      </c>
      <c r="H85" s="186"/>
      <c r="J85" s="32"/>
    </row>
    <row r="86" spans="1:10" ht="13.5">
      <c r="A86" s="302"/>
      <c r="B86" s="307"/>
      <c r="C86" s="307"/>
      <c r="D86" s="309" t="s">
        <v>304</v>
      </c>
      <c r="E86" s="305" t="s">
        <v>218</v>
      </c>
      <c r="F86" s="306"/>
      <c r="G86" s="189">
        <v>42152</v>
      </c>
      <c r="H86" s="186"/>
      <c r="J86" s="32"/>
    </row>
    <row r="87" spans="1:10" ht="13.5">
      <c r="A87" s="302" t="s">
        <v>221</v>
      </c>
      <c r="B87" s="307"/>
      <c r="C87" s="307"/>
      <c r="D87" s="309" t="s">
        <v>219</v>
      </c>
      <c r="E87" s="305" t="s">
        <v>220</v>
      </c>
      <c r="F87" s="306"/>
      <c r="G87" s="189">
        <v>42152</v>
      </c>
      <c r="H87" s="186"/>
      <c r="J87" s="32"/>
    </row>
    <row r="88" spans="1:10" ht="13.5">
      <c r="A88" s="302" t="s">
        <v>224</v>
      </c>
      <c r="B88" s="307"/>
      <c r="C88" s="307"/>
      <c r="D88" s="309" t="s">
        <v>222</v>
      </c>
      <c r="E88" s="305" t="s">
        <v>223</v>
      </c>
      <c r="F88" s="306"/>
      <c r="G88" s="189">
        <v>0</v>
      </c>
      <c r="H88" s="186"/>
      <c r="J88" s="32"/>
    </row>
    <row r="89" spans="1:10" ht="38.25">
      <c r="A89" s="311" t="s">
        <v>225</v>
      </c>
      <c r="B89" s="307"/>
      <c r="C89" s="307"/>
      <c r="D89" s="309" t="s">
        <v>326</v>
      </c>
      <c r="E89" s="305" t="s">
        <v>226</v>
      </c>
      <c r="F89" s="306"/>
      <c r="G89" s="189">
        <v>4775</v>
      </c>
      <c r="H89" s="186"/>
      <c r="J89" s="32"/>
    </row>
    <row r="90" spans="1:10" ht="13.5">
      <c r="A90" s="302" t="s">
        <v>227</v>
      </c>
      <c r="B90" s="307"/>
      <c r="C90" s="307"/>
      <c r="D90" s="309" t="s">
        <v>327</v>
      </c>
      <c r="E90" s="305" t="s">
        <v>228</v>
      </c>
      <c r="F90" s="306"/>
      <c r="G90" s="189">
        <f>-6+6</f>
        <v>0</v>
      </c>
      <c r="H90" s="186"/>
      <c r="J90" s="32"/>
    </row>
    <row r="91" spans="1:10" ht="15.75" customHeight="1">
      <c r="A91" s="302" t="s">
        <v>230</v>
      </c>
      <c r="B91" s="307"/>
      <c r="C91" s="307"/>
      <c r="D91" s="309" t="s">
        <v>328</v>
      </c>
      <c r="E91" s="305" t="s">
        <v>229</v>
      </c>
      <c r="F91" s="306"/>
      <c r="G91" s="189">
        <f>100747-1</f>
        <v>100746</v>
      </c>
      <c r="H91" s="186"/>
      <c r="J91" s="32"/>
    </row>
    <row r="92" spans="1:10" ht="53.25" customHeight="1">
      <c r="A92" s="311" t="s">
        <v>231</v>
      </c>
      <c r="B92" s="307"/>
      <c r="C92" s="307"/>
      <c r="D92" s="309" t="s">
        <v>329</v>
      </c>
      <c r="E92" s="305" t="s">
        <v>232</v>
      </c>
      <c r="F92" s="306"/>
      <c r="G92" s="189">
        <v>0</v>
      </c>
      <c r="H92" s="186"/>
      <c r="J92" s="32"/>
    </row>
    <row r="93" spans="1:10" ht="13.5">
      <c r="A93" s="302"/>
      <c r="B93" s="303"/>
      <c r="C93" s="303" t="s">
        <v>54</v>
      </c>
      <c r="D93" s="304" t="s">
        <v>305</v>
      </c>
      <c r="E93" s="305" t="s">
        <v>233</v>
      </c>
      <c r="F93" s="306"/>
      <c r="G93" s="41">
        <f>IF((G73-G84)&gt;0,(G73-G84),0)</f>
        <v>81036</v>
      </c>
      <c r="H93" s="184"/>
      <c r="J93" s="32"/>
    </row>
    <row r="94" spans="1:10" ht="13.5">
      <c r="A94" s="302"/>
      <c r="B94" s="303"/>
      <c r="C94" s="303" t="s">
        <v>55</v>
      </c>
      <c r="D94" s="304" t="s">
        <v>306</v>
      </c>
      <c r="E94" s="305" t="s">
        <v>234</v>
      </c>
      <c r="F94" s="306"/>
      <c r="G94" s="41">
        <f>IF((G73-G84)&lt;0,-(G73-G84),0)</f>
        <v>0</v>
      </c>
      <c r="H94" s="184"/>
      <c r="J94" s="32"/>
    </row>
    <row r="95" spans="1:10" ht="24.75" customHeight="1">
      <c r="A95" s="310"/>
      <c r="B95" s="312" t="s">
        <v>84</v>
      </c>
      <c r="C95" s="312"/>
      <c r="D95" s="313" t="s">
        <v>307</v>
      </c>
      <c r="E95" s="305" t="s">
        <v>235</v>
      </c>
      <c r="F95" s="306"/>
      <c r="G95" s="41">
        <f>G96+G101+G106-G107</f>
        <v>401755</v>
      </c>
      <c r="H95" s="184"/>
      <c r="J95" s="32"/>
    </row>
    <row r="96" spans="1:10" ht="13.5" customHeight="1">
      <c r="A96" s="305"/>
      <c r="B96" s="307"/>
      <c r="C96" s="307"/>
      <c r="D96" s="304" t="s">
        <v>308</v>
      </c>
      <c r="E96" s="305" t="s">
        <v>236</v>
      </c>
      <c r="F96" s="308"/>
      <c r="G96" s="83">
        <f>G97+G98-G99+G100</f>
        <v>353338</v>
      </c>
      <c r="H96" s="185"/>
      <c r="J96" s="32"/>
    </row>
    <row r="97" spans="1:10" ht="13.5" customHeight="1">
      <c r="A97" s="305" t="s">
        <v>57</v>
      </c>
      <c r="B97" s="307"/>
      <c r="C97" s="307"/>
      <c r="D97" s="309" t="s">
        <v>58</v>
      </c>
      <c r="E97" s="305" t="s">
        <v>237</v>
      </c>
      <c r="F97" s="306"/>
      <c r="G97" s="189">
        <v>823</v>
      </c>
      <c r="H97" s="186"/>
      <c r="J97" s="32"/>
    </row>
    <row r="98" spans="1:10" ht="25.5" customHeight="1">
      <c r="A98" s="305" t="s">
        <v>59</v>
      </c>
      <c r="B98" s="307"/>
      <c r="C98" s="307"/>
      <c r="D98" s="309" t="s">
        <v>60</v>
      </c>
      <c r="E98" s="305" t="s">
        <v>238</v>
      </c>
      <c r="F98" s="306"/>
      <c r="G98" s="189">
        <f>352516-1</f>
        <v>352515</v>
      </c>
      <c r="H98" s="186"/>
      <c r="J98" s="32"/>
    </row>
    <row r="99" spans="1:10" ht="25.5" customHeight="1">
      <c r="A99" s="305" t="s">
        <v>61</v>
      </c>
      <c r="B99" s="307"/>
      <c r="C99" s="307"/>
      <c r="D99" s="309" t="s">
        <v>62</v>
      </c>
      <c r="E99" s="305" t="s">
        <v>239</v>
      </c>
      <c r="F99" s="306"/>
      <c r="G99" s="189">
        <v>0</v>
      </c>
      <c r="H99" s="186"/>
      <c r="J99" s="32"/>
    </row>
    <row r="100" spans="1:10" ht="15" customHeight="1">
      <c r="A100" s="305" t="s">
        <v>61</v>
      </c>
      <c r="B100" s="307"/>
      <c r="C100" s="307"/>
      <c r="D100" s="309" t="s">
        <v>63</v>
      </c>
      <c r="E100" s="305" t="s">
        <v>240</v>
      </c>
      <c r="F100" s="306"/>
      <c r="G100" s="189">
        <v>0</v>
      </c>
      <c r="H100" s="186"/>
      <c r="J100" s="32"/>
    </row>
    <row r="101" spans="1:10" ht="15" customHeight="1">
      <c r="A101" s="305"/>
      <c r="B101" s="307"/>
      <c r="C101" s="307"/>
      <c r="D101" s="304" t="s">
        <v>309</v>
      </c>
      <c r="E101" s="305" t="s">
        <v>241</v>
      </c>
      <c r="F101" s="308"/>
      <c r="G101" s="83">
        <f>G102+G103+G104+G105</f>
        <v>45049</v>
      </c>
      <c r="H101" s="185"/>
      <c r="J101" s="32"/>
    </row>
    <row r="102" spans="1:10" ht="13.5" customHeight="1">
      <c r="A102" s="305" t="s">
        <v>64</v>
      </c>
      <c r="B102" s="307"/>
      <c r="C102" s="307"/>
      <c r="D102" s="309" t="s">
        <v>65</v>
      </c>
      <c r="E102" s="305" t="s">
        <v>242</v>
      </c>
      <c r="F102" s="306"/>
      <c r="G102" s="189">
        <v>26730</v>
      </c>
      <c r="H102" s="186"/>
      <c r="J102" s="32"/>
    </row>
    <row r="103" spans="1:10" ht="25.5" customHeight="1">
      <c r="A103" s="305" t="s">
        <v>66</v>
      </c>
      <c r="B103" s="307"/>
      <c r="C103" s="307"/>
      <c r="D103" s="309" t="s">
        <v>67</v>
      </c>
      <c r="E103" s="305" t="s">
        <v>243</v>
      </c>
      <c r="F103" s="306"/>
      <c r="G103" s="189">
        <v>6887</v>
      </c>
      <c r="H103" s="186"/>
      <c r="J103" s="32"/>
    </row>
    <row r="104" spans="1:10" ht="15" customHeight="1">
      <c r="A104" s="305" t="s">
        <v>68</v>
      </c>
      <c r="B104" s="307"/>
      <c r="C104" s="307"/>
      <c r="D104" s="309" t="s">
        <v>69</v>
      </c>
      <c r="E104" s="305" t="s">
        <v>244</v>
      </c>
      <c r="F104" s="306"/>
      <c r="G104" s="189">
        <v>0</v>
      </c>
      <c r="H104" s="186"/>
      <c r="J104" s="32"/>
    </row>
    <row r="105" spans="1:10" ht="25.5" customHeight="1">
      <c r="A105" s="305" t="s">
        <v>37</v>
      </c>
      <c r="B105" s="307"/>
      <c r="C105" s="307"/>
      <c r="D105" s="309" t="s">
        <v>70</v>
      </c>
      <c r="E105" s="305" t="s">
        <v>245</v>
      </c>
      <c r="F105" s="306"/>
      <c r="G105" s="189">
        <v>11432</v>
      </c>
      <c r="H105" s="186"/>
      <c r="J105" s="32"/>
    </row>
    <row r="106" spans="1:10" ht="23.25" customHeight="1">
      <c r="A106" s="305" t="s">
        <v>37</v>
      </c>
      <c r="B106" s="307"/>
      <c r="C106" s="307"/>
      <c r="D106" s="304" t="s">
        <v>71</v>
      </c>
      <c r="E106" s="305" t="s">
        <v>246</v>
      </c>
      <c r="F106" s="308"/>
      <c r="G106" s="83">
        <v>3671</v>
      </c>
      <c r="H106" s="185"/>
      <c r="J106" s="32"/>
    </row>
    <row r="107" spans="1:10" ht="16.5" customHeight="1">
      <c r="A107" s="305" t="s">
        <v>72</v>
      </c>
      <c r="B107" s="307"/>
      <c r="C107" s="307"/>
      <c r="D107" s="304" t="s">
        <v>73</v>
      </c>
      <c r="E107" s="305" t="s">
        <v>247</v>
      </c>
      <c r="F107" s="308"/>
      <c r="G107" s="83">
        <v>303</v>
      </c>
      <c r="H107" s="185"/>
      <c r="J107" s="32"/>
    </row>
    <row r="108" spans="1:10" ht="25.5">
      <c r="A108" s="302"/>
      <c r="B108" s="303"/>
      <c r="C108" s="303" t="s">
        <v>12</v>
      </c>
      <c r="D108" s="304" t="s">
        <v>310</v>
      </c>
      <c r="E108" s="305" t="s">
        <v>248</v>
      </c>
      <c r="F108" s="306"/>
      <c r="G108" s="191">
        <f>IF((G70+G93-G71-G94-G95)&gt;0,(G70+G93-G71-G94-G95),0)</f>
        <v>0</v>
      </c>
      <c r="H108" s="188"/>
      <c r="J108" s="32"/>
    </row>
    <row r="109" spans="1:10" ht="25.5">
      <c r="A109" s="302"/>
      <c r="B109" s="303"/>
      <c r="C109" s="303" t="s">
        <v>22</v>
      </c>
      <c r="D109" s="304" t="s">
        <v>311</v>
      </c>
      <c r="E109" s="305" t="s">
        <v>249</v>
      </c>
      <c r="F109" s="306"/>
      <c r="G109" s="191">
        <f>IF((G70+G93-G71-G94-G95)&lt;0,-(G70+G93-G71-G94-G95),0)</f>
        <v>103100</v>
      </c>
      <c r="H109" s="188"/>
      <c r="J109" s="32"/>
    </row>
    <row r="110" spans="1:10" ht="25.5">
      <c r="A110" s="305" t="s">
        <v>74</v>
      </c>
      <c r="B110" s="307"/>
      <c r="C110" s="303" t="s">
        <v>54</v>
      </c>
      <c r="D110" s="304" t="s">
        <v>250</v>
      </c>
      <c r="E110" s="305" t="s">
        <v>251</v>
      </c>
      <c r="F110" s="308"/>
      <c r="G110" s="83">
        <f>31788-1</f>
        <v>31787</v>
      </c>
      <c r="H110" s="185"/>
      <c r="J110" s="32"/>
    </row>
    <row r="111" spans="1:10" ht="34.5" customHeight="1">
      <c r="A111" s="305" t="s">
        <v>75</v>
      </c>
      <c r="B111" s="307"/>
      <c r="C111" s="303" t="s">
        <v>55</v>
      </c>
      <c r="D111" s="304" t="s">
        <v>252</v>
      </c>
      <c r="E111" s="305" t="s">
        <v>253</v>
      </c>
      <c r="F111" s="308"/>
      <c r="G111" s="83">
        <v>11856</v>
      </c>
      <c r="H111" s="185"/>
      <c r="J111" s="32"/>
    </row>
    <row r="112" spans="1:10" ht="38.25">
      <c r="A112" s="305" t="s">
        <v>254</v>
      </c>
      <c r="B112" s="307"/>
      <c r="C112" s="303" t="s">
        <v>76</v>
      </c>
      <c r="D112" s="304" t="s">
        <v>255</v>
      </c>
      <c r="E112" s="305" t="s">
        <v>256</v>
      </c>
      <c r="F112" s="308"/>
      <c r="G112" s="83">
        <v>2123</v>
      </c>
      <c r="H112" s="185"/>
      <c r="J112" s="32"/>
    </row>
    <row r="113" spans="1:10" ht="38.25">
      <c r="A113" s="305" t="s">
        <v>257</v>
      </c>
      <c r="B113" s="307"/>
      <c r="C113" s="303" t="s">
        <v>77</v>
      </c>
      <c r="D113" s="304" t="s">
        <v>258</v>
      </c>
      <c r="E113" s="305" t="s">
        <v>259</v>
      </c>
      <c r="F113" s="308"/>
      <c r="G113" s="83">
        <v>147166</v>
      </c>
      <c r="H113" s="185"/>
      <c r="J113" s="32"/>
    </row>
    <row r="114" spans="1:10" ht="13.5">
      <c r="A114" s="305" t="s">
        <v>264</v>
      </c>
      <c r="B114" s="307"/>
      <c r="C114" s="303" t="s">
        <v>78</v>
      </c>
      <c r="D114" s="304" t="s">
        <v>260</v>
      </c>
      <c r="E114" s="305" t="s">
        <v>262</v>
      </c>
      <c r="F114" s="308"/>
      <c r="G114" s="83">
        <f>1733+2</f>
        <v>1735</v>
      </c>
      <c r="H114" s="185"/>
      <c r="J114" s="32"/>
    </row>
    <row r="115" spans="1:10" ht="13.5">
      <c r="A115" s="305" t="s">
        <v>265</v>
      </c>
      <c r="B115" s="307"/>
      <c r="C115" s="303" t="s">
        <v>79</v>
      </c>
      <c r="D115" s="304" t="s">
        <v>261</v>
      </c>
      <c r="E115" s="305" t="s">
        <v>263</v>
      </c>
      <c r="F115" s="308"/>
      <c r="G115" s="83">
        <f>798-1</f>
        <v>797</v>
      </c>
      <c r="H115" s="185"/>
      <c r="J115" s="32"/>
    </row>
    <row r="116" spans="1:10" ht="38.25">
      <c r="A116" s="302"/>
      <c r="B116" s="303"/>
      <c r="C116" s="303" t="s">
        <v>81</v>
      </c>
      <c r="D116" s="304" t="s">
        <v>312</v>
      </c>
      <c r="E116" s="305" t="s">
        <v>267</v>
      </c>
      <c r="F116" s="306"/>
      <c r="G116" s="191">
        <f>IF((G108+G110+G112+G114-G109-G111-G113-G115)&gt;0,(G108+G110+G112+G114-G109-G111-G113-G115),0)</f>
        <v>0</v>
      </c>
      <c r="H116" s="188"/>
      <c r="J116" s="32"/>
    </row>
    <row r="117" spans="1:10" ht="38.25">
      <c r="A117" s="302"/>
      <c r="B117" s="303"/>
      <c r="C117" s="303" t="s">
        <v>83</v>
      </c>
      <c r="D117" s="304" t="s">
        <v>313</v>
      </c>
      <c r="E117" s="305" t="s">
        <v>268</v>
      </c>
      <c r="F117" s="306"/>
      <c r="G117" s="41">
        <f>IF((G108+G110+G112+G114-G109-G111-G113-G115)&lt;0,-(G108+G110+G112+G114-G109-G111-G113-G115),0)</f>
        <v>227274</v>
      </c>
      <c r="H117" s="184"/>
      <c r="J117" s="32"/>
    </row>
    <row r="118" spans="1:10" ht="51">
      <c r="A118" s="305" t="s">
        <v>80</v>
      </c>
      <c r="B118" s="307"/>
      <c r="C118" s="303" t="s">
        <v>314</v>
      </c>
      <c r="D118" s="304" t="s">
        <v>266</v>
      </c>
      <c r="E118" s="305" t="s">
        <v>269</v>
      </c>
      <c r="F118" s="308"/>
      <c r="G118" s="83">
        <v>0</v>
      </c>
      <c r="H118" s="185"/>
      <c r="J118" s="32"/>
    </row>
    <row r="119" spans="1:10" ht="51">
      <c r="A119" s="305" t="s">
        <v>82</v>
      </c>
      <c r="B119" s="307"/>
      <c r="C119" s="303" t="s">
        <v>315</v>
      </c>
      <c r="D119" s="304" t="s">
        <v>270</v>
      </c>
      <c r="E119" s="305" t="s">
        <v>271</v>
      </c>
      <c r="F119" s="308"/>
      <c r="G119" s="83">
        <v>40</v>
      </c>
      <c r="H119" s="185"/>
      <c r="J119" s="32"/>
    </row>
    <row r="120" spans="1:10" ht="25.5" customHeight="1">
      <c r="A120" s="305"/>
      <c r="B120" s="303" t="s">
        <v>85</v>
      </c>
      <c r="C120" s="307"/>
      <c r="D120" s="304" t="s">
        <v>316</v>
      </c>
      <c r="E120" s="305" t="s">
        <v>278</v>
      </c>
      <c r="F120" s="308"/>
      <c r="G120" s="83">
        <v>0</v>
      </c>
      <c r="H120" s="185"/>
      <c r="J120" s="32"/>
    </row>
    <row r="121" spans="1:10" ht="25.5" customHeight="1">
      <c r="A121" s="305"/>
      <c r="B121" s="303" t="s">
        <v>86</v>
      </c>
      <c r="C121" s="307"/>
      <c r="D121" s="304" t="s">
        <v>317</v>
      </c>
      <c r="E121" s="305" t="s">
        <v>279</v>
      </c>
      <c r="F121" s="308"/>
      <c r="G121" s="83">
        <f>IF((G116+G118-G117-G119)&lt;0,-(G116+G118-G117-G119),0)</f>
        <v>227314</v>
      </c>
      <c r="H121" s="185"/>
      <c r="J121" s="32"/>
    </row>
    <row r="122" spans="1:10" ht="20.100000000000001" customHeight="1">
      <c r="A122" s="305"/>
      <c r="B122" s="303" t="s">
        <v>90</v>
      </c>
      <c r="C122" s="307"/>
      <c r="D122" s="304" t="s">
        <v>102</v>
      </c>
      <c r="E122" s="305"/>
      <c r="F122" s="314"/>
      <c r="G122" s="189"/>
      <c r="H122" s="186"/>
      <c r="J122" s="32"/>
    </row>
    <row r="123" spans="1:10" ht="20.100000000000001" customHeight="1">
      <c r="A123" s="305">
        <v>721</v>
      </c>
      <c r="B123" s="307"/>
      <c r="C123" s="307"/>
      <c r="D123" s="304" t="s">
        <v>87</v>
      </c>
      <c r="E123" s="305" t="s">
        <v>280</v>
      </c>
      <c r="F123" s="306"/>
      <c r="G123" s="189">
        <v>0</v>
      </c>
      <c r="H123" s="186"/>
      <c r="J123" s="32"/>
    </row>
    <row r="124" spans="1:10" ht="38.25">
      <c r="A124" s="305">
        <v>342</v>
      </c>
      <c r="B124" s="307"/>
      <c r="C124" s="307"/>
      <c r="D124" s="315" t="s">
        <v>88</v>
      </c>
      <c r="E124" s="305" t="s">
        <v>281</v>
      </c>
      <c r="F124" s="306"/>
      <c r="G124" s="189">
        <v>0</v>
      </c>
      <c r="H124" s="186"/>
      <c r="J124" s="32"/>
    </row>
    <row r="125" spans="1:10" ht="38.25">
      <c r="A125" s="305">
        <v>352</v>
      </c>
      <c r="B125" s="307"/>
      <c r="C125" s="307"/>
      <c r="D125" s="315" t="s">
        <v>89</v>
      </c>
      <c r="E125" s="305" t="s">
        <v>282</v>
      </c>
      <c r="F125" s="306"/>
      <c r="G125" s="189">
        <v>0</v>
      </c>
      <c r="H125" s="186"/>
      <c r="J125" s="32"/>
    </row>
    <row r="126" spans="1:10" ht="13.5">
      <c r="A126" s="305"/>
      <c r="B126" s="303" t="s">
        <v>91</v>
      </c>
      <c r="C126" s="303"/>
      <c r="D126" s="316" t="s">
        <v>318</v>
      </c>
      <c r="E126" s="305" t="s">
        <v>283</v>
      </c>
      <c r="F126" s="306"/>
      <c r="G126" s="191" t="s">
        <v>330</v>
      </c>
      <c r="H126" s="188"/>
      <c r="J126" s="32"/>
    </row>
    <row r="127" spans="1:10" ht="13.5">
      <c r="A127" s="305"/>
      <c r="B127" s="303"/>
      <c r="C127" s="303"/>
      <c r="D127" s="317" t="s">
        <v>272</v>
      </c>
      <c r="E127" s="305" t="s">
        <v>284</v>
      </c>
      <c r="F127" s="306"/>
      <c r="G127" s="41"/>
      <c r="H127" s="184"/>
      <c r="J127" s="32"/>
    </row>
    <row r="128" spans="1:10" ht="13.5">
      <c r="A128" s="305"/>
      <c r="B128" s="303"/>
      <c r="C128" s="303"/>
      <c r="D128" s="317" t="s">
        <v>273</v>
      </c>
      <c r="E128" s="305" t="s">
        <v>285</v>
      </c>
      <c r="F128" s="306"/>
      <c r="G128" s="41"/>
      <c r="H128" s="184"/>
      <c r="J128" s="32"/>
    </row>
    <row r="129" spans="1:11" ht="13.5">
      <c r="A129" s="305"/>
      <c r="B129" s="303" t="s">
        <v>92</v>
      </c>
      <c r="C129" s="303"/>
      <c r="D129" s="304" t="s">
        <v>319</v>
      </c>
      <c r="E129" s="305" t="s">
        <v>286</v>
      </c>
      <c r="F129" s="306"/>
      <c r="G129" s="191">
        <f>IF((G120-G121-G123+G124-G125)&lt;0,-(G120-G121-G123+G124-G125),"0")</f>
        <v>227314</v>
      </c>
      <c r="H129" s="188"/>
      <c r="J129" s="32"/>
      <c r="K129" s="188">
        <v>227314</v>
      </c>
    </row>
    <row r="130" spans="1:11" ht="13.5">
      <c r="A130" s="305"/>
      <c r="B130" s="303"/>
      <c r="C130" s="303"/>
      <c r="D130" s="309" t="s">
        <v>274</v>
      </c>
      <c r="E130" s="305" t="s">
        <v>287</v>
      </c>
      <c r="F130" s="306"/>
      <c r="G130" s="189">
        <v>0</v>
      </c>
      <c r="H130" s="186"/>
      <c r="J130" s="32"/>
    </row>
    <row r="131" spans="1:11" ht="13.5">
      <c r="A131" s="305"/>
      <c r="B131" s="303"/>
      <c r="C131" s="303"/>
      <c r="D131" s="309" t="s">
        <v>275</v>
      </c>
      <c r="E131" s="305" t="s">
        <v>288</v>
      </c>
      <c r="F131" s="306"/>
      <c r="G131" s="189">
        <v>0</v>
      </c>
      <c r="H131" s="186"/>
      <c r="J131" s="32"/>
    </row>
    <row r="132" spans="1:11" ht="13.5">
      <c r="A132" s="305"/>
      <c r="B132" s="303" t="s">
        <v>93</v>
      </c>
      <c r="C132" s="303"/>
      <c r="D132" s="304" t="s">
        <v>94</v>
      </c>
      <c r="E132" s="305"/>
      <c r="F132" s="306"/>
      <c r="G132" s="189">
        <v>0</v>
      </c>
      <c r="H132" s="186"/>
      <c r="J132" s="32"/>
    </row>
    <row r="133" spans="1:11" ht="13.5">
      <c r="A133" s="305"/>
      <c r="B133" s="303"/>
      <c r="C133" s="303"/>
      <c r="D133" s="309" t="s">
        <v>276</v>
      </c>
      <c r="E133" s="305" t="s">
        <v>289</v>
      </c>
      <c r="F133" s="306"/>
      <c r="G133" s="189">
        <v>0</v>
      </c>
      <c r="H133" s="186"/>
      <c r="J133" s="32"/>
    </row>
    <row r="134" spans="1:11" ht="25.5">
      <c r="A134" s="305"/>
      <c r="B134" s="303"/>
      <c r="C134" s="303"/>
      <c r="D134" s="309" t="s">
        <v>277</v>
      </c>
      <c r="E134" s="305" t="s">
        <v>290</v>
      </c>
      <c r="F134" s="306"/>
      <c r="G134" s="189">
        <v>0</v>
      </c>
      <c r="H134" s="186"/>
      <c r="J134" s="32"/>
    </row>
    <row r="135" spans="1:11" ht="13.5" customHeight="1">
      <c r="H135" s="232"/>
      <c r="J135" s="32"/>
    </row>
    <row r="136" spans="1:11">
      <c r="J136" s="32"/>
    </row>
    <row r="137" spans="1:11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J137" s="32"/>
    </row>
    <row r="138" spans="1:11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J138" s="32"/>
    </row>
    <row r="139" spans="1:11">
      <c r="A139" s="1"/>
      <c r="B139" s="2"/>
      <c r="C139" s="58"/>
      <c r="D139" s="59"/>
      <c r="E139" s="60"/>
      <c r="F139" s="60"/>
      <c r="G139" s="61"/>
      <c r="H139" s="233"/>
      <c r="J139" s="32"/>
    </row>
    <row r="140" spans="1:11">
      <c r="A140" s="62"/>
      <c r="B140" s="63"/>
      <c r="C140" s="64"/>
      <c r="D140" s="64"/>
      <c r="E140" s="64"/>
      <c r="F140" s="64"/>
      <c r="G140" s="65"/>
      <c r="H140" s="234"/>
      <c r="J140" s="32"/>
    </row>
    <row r="141" spans="1:11">
      <c r="A141" s="1"/>
      <c r="B141" s="2"/>
      <c r="C141" s="58"/>
      <c r="D141" s="59"/>
      <c r="E141" s="60"/>
      <c r="F141" s="60"/>
      <c r="G141" s="66"/>
      <c r="H141" s="235"/>
      <c r="J141" s="32"/>
    </row>
    <row r="142" spans="1:11">
      <c r="A142" s="1"/>
      <c r="B142" s="2"/>
      <c r="C142" s="58"/>
      <c r="D142" s="59"/>
      <c r="E142" s="60"/>
      <c r="F142" s="60"/>
      <c r="G142" s="61"/>
      <c r="H142" s="233"/>
      <c r="J142" s="32"/>
    </row>
    <row r="143" spans="1:11">
      <c r="A143" s="1"/>
      <c r="B143" s="2"/>
      <c r="C143" s="58"/>
      <c r="D143" s="59"/>
      <c r="E143" s="60"/>
      <c r="F143" s="60"/>
      <c r="G143" s="61"/>
      <c r="H143" s="233"/>
      <c r="J143" s="32"/>
    </row>
    <row r="144" spans="1:11">
      <c r="A144" s="1"/>
      <c r="B144" s="2"/>
      <c r="C144" s="58"/>
      <c r="D144" s="59"/>
      <c r="E144" s="60"/>
      <c r="F144" s="60"/>
      <c r="G144" s="61"/>
      <c r="H144" s="233"/>
      <c r="J144" s="32"/>
    </row>
    <row r="145" spans="1:10">
      <c r="A145" s="1"/>
      <c r="B145" s="2"/>
      <c r="C145" s="58"/>
      <c r="D145" s="59"/>
      <c r="E145" s="60"/>
      <c r="F145" s="60"/>
      <c r="G145" s="61"/>
      <c r="H145" s="233"/>
      <c r="J145" s="32"/>
    </row>
    <row r="146" spans="1:10">
      <c r="A146" s="1"/>
      <c r="B146" s="2"/>
      <c r="C146" s="58"/>
      <c r="D146" s="59"/>
      <c r="E146" s="60"/>
      <c r="F146" s="60"/>
      <c r="G146" s="61"/>
      <c r="H146" s="233"/>
      <c r="J146" s="32"/>
    </row>
    <row r="147" spans="1:10">
      <c r="A147" s="1"/>
      <c r="B147" s="2"/>
      <c r="C147" s="58"/>
      <c r="D147" s="59"/>
      <c r="E147" s="60"/>
      <c r="F147" s="60"/>
      <c r="G147" s="61"/>
      <c r="H147" s="233"/>
      <c r="J147" s="32"/>
    </row>
    <row r="148" spans="1:10">
      <c r="A148" s="1"/>
      <c r="B148" s="2"/>
      <c r="C148" s="58"/>
      <c r="D148" s="59"/>
      <c r="E148" s="60"/>
      <c r="F148" s="60"/>
      <c r="G148" s="67"/>
      <c r="H148" s="233"/>
      <c r="J148" s="32"/>
    </row>
    <row r="149" spans="1:10">
      <c r="A149" s="1"/>
      <c r="B149" s="2"/>
      <c r="C149" s="58"/>
      <c r="D149" s="59"/>
      <c r="E149" s="60"/>
      <c r="F149" s="60"/>
      <c r="G149" s="61"/>
      <c r="H149" s="233"/>
      <c r="J149" s="32"/>
    </row>
    <row r="150" spans="1:10">
      <c r="A150" s="1"/>
      <c r="B150" s="2"/>
      <c r="C150" s="58"/>
      <c r="D150" s="59"/>
      <c r="E150" s="60"/>
      <c r="F150" s="60"/>
      <c r="G150" s="61"/>
      <c r="H150" s="233"/>
      <c r="J150" s="32"/>
    </row>
    <row r="151" spans="1:10">
      <c r="A151" s="1"/>
      <c r="B151" s="2"/>
      <c r="C151" s="58"/>
      <c r="D151" s="59"/>
      <c r="E151" s="60"/>
      <c r="F151" s="60"/>
      <c r="G151" s="61"/>
      <c r="H151" s="233"/>
      <c r="J151" s="32"/>
    </row>
    <row r="152" spans="1:10">
      <c r="A152" s="1"/>
      <c r="B152" s="2"/>
      <c r="C152" s="58"/>
      <c r="D152" s="59"/>
      <c r="E152" s="60"/>
      <c r="F152" s="60"/>
      <c r="G152" s="61"/>
      <c r="H152" s="233"/>
      <c r="J152" s="32"/>
    </row>
    <row r="153" spans="1:10">
      <c r="A153" s="1"/>
      <c r="B153" s="2"/>
      <c r="C153" s="58"/>
      <c r="D153" s="59"/>
      <c r="E153" s="60"/>
      <c r="F153" s="60"/>
      <c r="G153" s="61"/>
      <c r="H153" s="233"/>
      <c r="J153" s="32"/>
    </row>
    <row r="154" spans="1:10">
      <c r="A154" s="1"/>
      <c r="B154" s="2"/>
      <c r="C154" s="58"/>
      <c r="D154" s="59"/>
      <c r="E154" s="60"/>
      <c r="F154" s="60"/>
      <c r="G154" s="61"/>
      <c r="H154" s="233"/>
      <c r="J154" s="32"/>
    </row>
    <row r="155" spans="1:10">
      <c r="A155" s="1"/>
      <c r="B155" s="2"/>
      <c r="C155" s="58"/>
      <c r="D155" s="59"/>
      <c r="E155" s="60"/>
      <c r="F155" s="60"/>
      <c r="G155" s="61"/>
      <c r="H155" s="233"/>
      <c r="J155" s="32"/>
    </row>
    <row r="156" spans="1:10">
      <c r="A156" s="1"/>
      <c r="B156" s="2"/>
      <c r="C156" s="58"/>
      <c r="D156" s="59"/>
      <c r="E156" s="60"/>
      <c r="F156" s="60"/>
      <c r="G156" s="61"/>
      <c r="H156" s="233"/>
      <c r="J156" s="32"/>
    </row>
    <row r="157" spans="1:10">
      <c r="A157" s="1"/>
      <c r="B157" s="2"/>
      <c r="C157" s="58"/>
      <c r="D157" s="59"/>
      <c r="E157" s="60"/>
      <c r="F157" s="60"/>
      <c r="G157" s="61"/>
      <c r="H157" s="233"/>
      <c r="J157" s="32"/>
    </row>
    <row r="158" spans="1:10">
      <c r="A158" s="1"/>
      <c r="B158" s="2"/>
      <c r="C158" s="58"/>
      <c r="D158" s="59"/>
      <c r="E158" s="60"/>
      <c r="F158" s="60"/>
      <c r="G158" s="61"/>
      <c r="H158" s="233"/>
      <c r="J158" s="32"/>
    </row>
    <row r="159" spans="1:10">
      <c r="A159" s="1"/>
      <c r="B159" s="2"/>
      <c r="C159" s="58"/>
      <c r="D159" s="59"/>
      <c r="E159" s="60"/>
      <c r="F159" s="60"/>
      <c r="G159" s="61"/>
      <c r="H159" s="233"/>
      <c r="J159" s="32"/>
    </row>
    <row r="160" spans="1:10">
      <c r="A160" s="1"/>
      <c r="B160" s="2"/>
      <c r="C160" s="58"/>
      <c r="D160" s="59"/>
      <c r="E160" s="60"/>
      <c r="F160" s="60"/>
      <c r="G160" s="61"/>
      <c r="H160" s="233"/>
      <c r="J160" s="32"/>
    </row>
    <row r="161" spans="1:10">
      <c r="A161" s="1"/>
      <c r="B161" s="2"/>
      <c r="C161" s="58"/>
      <c r="D161" s="59"/>
      <c r="E161" s="60"/>
      <c r="F161" s="60"/>
      <c r="G161" s="61"/>
      <c r="H161" s="233"/>
      <c r="J161" s="32"/>
    </row>
    <row r="162" spans="1:10">
      <c r="A162" s="1"/>
      <c r="B162" s="2"/>
      <c r="C162" s="58"/>
      <c r="D162" s="59"/>
      <c r="E162" s="60"/>
      <c r="F162" s="60"/>
      <c r="G162" s="61"/>
      <c r="H162" s="233"/>
      <c r="J162" s="32"/>
    </row>
    <row r="163" spans="1:10">
      <c r="A163" s="1"/>
      <c r="B163" s="2"/>
      <c r="C163" s="58"/>
      <c r="D163" s="59"/>
      <c r="E163" s="60"/>
      <c r="F163" s="60"/>
      <c r="G163" s="61"/>
      <c r="H163" s="233"/>
      <c r="J163" s="32"/>
    </row>
    <row r="164" spans="1:10">
      <c r="A164" s="1"/>
      <c r="B164" s="2"/>
      <c r="C164" s="58"/>
      <c r="D164" s="59"/>
      <c r="E164" s="60"/>
      <c r="F164" s="60"/>
      <c r="G164" s="61"/>
      <c r="H164" s="233"/>
      <c r="J164" s="32"/>
    </row>
    <row r="165" spans="1:10">
      <c r="A165" s="1"/>
      <c r="B165" s="2"/>
      <c r="C165" s="58"/>
      <c r="D165" s="59"/>
      <c r="E165" s="60"/>
      <c r="F165" s="60"/>
      <c r="G165" s="61"/>
      <c r="H165" s="233"/>
      <c r="J165" s="32"/>
    </row>
    <row r="166" spans="1:10">
      <c r="A166" s="1"/>
      <c r="B166" s="2"/>
      <c r="C166" s="3"/>
      <c r="D166" s="68"/>
      <c r="E166" s="4"/>
      <c r="F166" s="4"/>
      <c r="J166" s="32"/>
    </row>
    <row r="167" spans="1:10">
      <c r="A167" s="1"/>
      <c r="B167" s="2"/>
      <c r="C167" s="3"/>
      <c r="D167" s="68"/>
      <c r="E167" s="4"/>
      <c r="F167" s="4"/>
      <c r="J167" s="32"/>
    </row>
    <row r="168" spans="1:10">
      <c r="A168" s="1"/>
      <c r="B168" s="2"/>
      <c r="C168" s="3"/>
      <c r="D168" s="68"/>
      <c r="E168" s="4"/>
      <c r="F168" s="4"/>
      <c r="J168" s="32"/>
    </row>
    <row r="169" spans="1:10">
      <c r="A169" s="1"/>
      <c r="B169" s="2"/>
      <c r="C169" s="3"/>
      <c r="D169" s="68"/>
      <c r="E169" s="4"/>
      <c r="F169" s="4"/>
      <c r="J169" s="32"/>
    </row>
    <row r="170" spans="1:10">
      <c r="A170" s="1"/>
      <c r="B170" s="2"/>
      <c r="C170" s="3"/>
      <c r="D170" s="68"/>
      <c r="E170" s="4"/>
      <c r="F170" s="4"/>
      <c r="J170" s="32"/>
    </row>
    <row r="171" spans="1:10">
      <c r="A171" s="1"/>
      <c r="B171" s="2"/>
      <c r="C171" s="3"/>
      <c r="D171" s="68"/>
      <c r="E171" s="4"/>
      <c r="F171" s="4"/>
      <c r="J171" s="32"/>
    </row>
    <row r="172" spans="1:10">
      <c r="A172" s="1"/>
      <c r="B172" s="2"/>
      <c r="C172" s="3"/>
      <c r="D172" s="68"/>
      <c r="E172" s="4"/>
      <c r="F172" s="4"/>
      <c r="J172" s="32"/>
    </row>
    <row r="173" spans="1:10">
      <c r="A173" s="1"/>
      <c r="B173" s="2"/>
      <c r="C173" s="3"/>
      <c r="D173" s="68"/>
      <c r="E173" s="4"/>
      <c r="F173" s="4"/>
      <c r="J173" s="32"/>
    </row>
    <row r="174" spans="1:10">
      <c r="A174" s="1"/>
      <c r="B174" s="2"/>
      <c r="C174" s="3"/>
      <c r="D174" s="68"/>
      <c r="E174" s="4"/>
      <c r="F174" s="4"/>
      <c r="J174" s="32"/>
    </row>
    <row r="175" spans="1:10">
      <c r="A175" s="1"/>
      <c r="B175" s="2"/>
      <c r="C175" s="3"/>
      <c r="D175" s="68"/>
      <c r="E175" s="4"/>
      <c r="F175" s="4"/>
      <c r="J175" s="32"/>
    </row>
    <row r="176" spans="1:10">
      <c r="A176" s="1"/>
      <c r="B176" s="2"/>
      <c r="C176" s="3"/>
      <c r="D176" s="68"/>
      <c r="E176" s="4"/>
      <c r="F176" s="4"/>
      <c r="J176" s="32"/>
    </row>
    <row r="177" spans="1:10">
      <c r="A177" s="1"/>
      <c r="B177" s="2"/>
      <c r="C177" s="3"/>
      <c r="D177" s="68"/>
      <c r="E177" s="4"/>
      <c r="F177" s="4"/>
      <c r="J177" s="32"/>
    </row>
    <row r="178" spans="1:10">
      <c r="A178" s="1"/>
      <c r="B178" s="2"/>
      <c r="C178" s="3"/>
      <c r="D178" s="68"/>
      <c r="E178" s="4"/>
      <c r="F178" s="4"/>
      <c r="J178" s="32"/>
    </row>
    <row r="179" spans="1:10">
      <c r="A179" s="1"/>
      <c r="B179" s="2"/>
      <c r="C179" s="3"/>
      <c r="D179" s="68"/>
      <c r="E179" s="4"/>
      <c r="F179" s="4"/>
      <c r="J179" s="32"/>
    </row>
    <row r="180" spans="1:10">
      <c r="A180" s="1"/>
      <c r="B180" s="2"/>
      <c r="C180" s="3"/>
      <c r="D180" s="68"/>
      <c r="E180" s="4"/>
      <c r="F180" s="4"/>
      <c r="J180" s="32"/>
    </row>
    <row r="181" spans="1:10">
      <c r="A181" s="1"/>
      <c r="B181" s="2"/>
      <c r="C181" s="3"/>
      <c r="D181" s="68"/>
      <c r="E181" s="4"/>
      <c r="F181" s="4"/>
      <c r="J181" s="32"/>
    </row>
    <row r="182" spans="1:10">
      <c r="A182" s="1"/>
      <c r="B182" s="2"/>
      <c r="C182" s="3"/>
      <c r="D182" s="68"/>
      <c r="E182" s="4"/>
      <c r="F182" s="4"/>
      <c r="J182" s="32"/>
    </row>
    <row r="183" spans="1:10">
      <c r="A183" s="1"/>
      <c r="B183" s="2"/>
      <c r="C183" s="3"/>
      <c r="D183" s="68"/>
      <c r="E183" s="4"/>
      <c r="F183" s="4"/>
      <c r="J183" s="32"/>
    </row>
    <row r="184" spans="1:10">
      <c r="A184" s="1"/>
      <c r="B184" s="2"/>
      <c r="C184" s="3"/>
      <c r="D184" s="68"/>
      <c r="E184" s="4"/>
      <c r="F184" s="4"/>
      <c r="J184" s="32"/>
    </row>
    <row r="185" spans="1:10">
      <c r="A185" s="1"/>
      <c r="B185" s="2"/>
      <c r="C185" s="3"/>
      <c r="D185" s="68"/>
      <c r="E185" s="4"/>
      <c r="F185" s="4"/>
      <c r="J185" s="32"/>
    </row>
    <row r="186" spans="1:10">
      <c r="A186" s="1"/>
      <c r="B186" s="2"/>
      <c r="C186" s="3"/>
      <c r="D186" s="68"/>
      <c r="E186" s="4"/>
      <c r="F186" s="4"/>
      <c r="J186" s="32"/>
    </row>
    <row r="187" spans="1:10">
      <c r="A187" s="1"/>
      <c r="B187" s="2"/>
      <c r="C187" s="3"/>
      <c r="D187" s="68"/>
      <c r="E187" s="4"/>
      <c r="F187" s="4"/>
      <c r="J187" s="32"/>
    </row>
    <row r="188" spans="1:10">
      <c r="A188" s="1"/>
      <c r="B188" s="2"/>
      <c r="C188" s="3"/>
      <c r="D188" s="68"/>
      <c r="E188" s="4"/>
      <c r="F188" s="4"/>
    </row>
    <row r="189" spans="1:10">
      <c r="A189" s="1"/>
      <c r="B189" s="2"/>
      <c r="C189" s="3"/>
      <c r="D189" s="68"/>
      <c r="E189" s="4"/>
      <c r="F189" s="4"/>
    </row>
    <row r="190" spans="1:10">
      <c r="A190" s="1"/>
      <c r="B190" s="2"/>
      <c r="C190" s="3"/>
      <c r="D190" s="68"/>
      <c r="E190" s="4"/>
      <c r="F190" s="4"/>
    </row>
    <row r="191" spans="1:10">
      <c r="A191" s="1"/>
      <c r="B191" s="2"/>
      <c r="C191" s="3"/>
      <c r="D191" s="68"/>
      <c r="E191" s="4"/>
      <c r="F191" s="4"/>
    </row>
    <row r="192" spans="1:10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B20:D20"/>
    <mergeCell ref="A137:C137"/>
    <mergeCell ref="D137:F137"/>
    <mergeCell ref="G137:H137"/>
    <mergeCell ref="A138:C138"/>
    <mergeCell ref="D138:F138"/>
    <mergeCell ref="G138:H138"/>
    <mergeCell ref="A12:D12"/>
    <mergeCell ref="A14:H14"/>
    <mergeCell ref="A15:H15"/>
    <mergeCell ref="A16:H16"/>
    <mergeCell ref="G17:H17"/>
    <mergeCell ref="A18:A19"/>
    <mergeCell ref="B18:D19"/>
    <mergeCell ref="E18:E19"/>
    <mergeCell ref="F18:F19"/>
    <mergeCell ref="G18:H18"/>
    <mergeCell ref="A11:G11"/>
    <mergeCell ref="A2:D2"/>
    <mergeCell ref="A3:D3"/>
    <mergeCell ref="A4:D4"/>
    <mergeCell ref="A5:D5"/>
    <mergeCell ref="A6:D6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241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0241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27"/>
  <sheetViews>
    <sheetView topLeftCell="B7" workbookViewId="0">
      <selection activeCell="G134" sqref="G22:G134"/>
    </sheetView>
  </sheetViews>
  <sheetFormatPr defaultRowHeight="15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9" width="9.140625" style="5"/>
    <col min="10" max="10" width="13.140625" style="5" hidden="1" customWidth="1"/>
    <col min="11" max="11" width="9.140625" style="5" hidden="1" customWidth="1"/>
    <col min="12" max="12" width="9.28515625" style="6" hidden="1" customWidth="1"/>
    <col min="13" max="13" width="9.140625" style="5"/>
    <col min="14" max="14" width="10.5703125" style="5" customWidth="1"/>
    <col min="15" max="15" width="11.7109375" style="280" customWidth="1"/>
    <col min="16" max="16384" width="9.140625" style="5"/>
  </cols>
  <sheetData>
    <row r="1" spans="1:15" ht="16.5" customHeight="1">
      <c r="A1" s="1"/>
      <c r="B1" s="2"/>
      <c r="C1" s="3"/>
      <c r="D1" s="4"/>
      <c r="E1" s="4"/>
      <c r="F1" s="4"/>
    </row>
    <row r="2" spans="1:15">
      <c r="A2" s="319"/>
      <c r="B2" s="319"/>
      <c r="C2" s="319"/>
      <c r="D2" s="319"/>
      <c r="E2" s="4"/>
      <c r="F2" s="4"/>
    </row>
    <row r="3" spans="1:15" ht="13.5" customHeight="1">
      <c r="A3" s="319"/>
      <c r="B3" s="319"/>
      <c r="C3" s="319"/>
      <c r="D3" s="319"/>
      <c r="E3" s="4"/>
      <c r="F3" s="4"/>
    </row>
    <row r="4" spans="1:15" ht="15" customHeight="1">
      <c r="A4" s="319"/>
      <c r="B4" s="319"/>
      <c r="C4" s="319"/>
      <c r="D4" s="319"/>
      <c r="E4" s="4"/>
      <c r="F4" s="4"/>
    </row>
    <row r="5" spans="1:15" ht="16.5" customHeight="1">
      <c r="A5" s="319"/>
      <c r="B5" s="319"/>
      <c r="C5" s="319"/>
      <c r="D5" s="319"/>
      <c r="E5" s="4"/>
      <c r="F5" s="4"/>
    </row>
    <row r="6" spans="1:15">
      <c r="A6" s="319"/>
      <c r="B6" s="319"/>
      <c r="C6" s="319"/>
      <c r="D6" s="319"/>
      <c r="E6" s="4"/>
      <c r="F6" s="4"/>
    </row>
    <row r="7" spans="1:15" ht="13.5" customHeight="1">
      <c r="A7" s="1"/>
      <c r="B7" s="2"/>
      <c r="C7" s="3"/>
      <c r="D7" s="4"/>
      <c r="E7" s="4"/>
      <c r="F7" s="4"/>
    </row>
    <row r="8" spans="1:15" ht="13.5" customHeight="1">
      <c r="A8" s="1"/>
      <c r="B8" s="2"/>
      <c r="C8" s="3"/>
      <c r="D8" s="4"/>
      <c r="E8" s="4"/>
      <c r="F8" s="4"/>
    </row>
    <row r="9" spans="1:15" ht="13.5" customHeight="1">
      <c r="A9" s="1"/>
      <c r="B9" s="2"/>
      <c r="C9" s="3"/>
      <c r="D9" s="4"/>
      <c r="E9" s="4"/>
      <c r="F9" s="4"/>
    </row>
    <row r="10" spans="1:15">
      <c r="A10" s="1"/>
      <c r="B10" s="2"/>
      <c r="C10" s="3"/>
      <c r="D10" s="4"/>
      <c r="E10" s="4"/>
      <c r="F10" s="4"/>
    </row>
    <row r="11" spans="1:15" s="7" customFormat="1" ht="13.5" customHeight="1">
      <c r="A11" s="318"/>
      <c r="B11" s="318"/>
      <c r="C11" s="318"/>
      <c r="D11" s="318"/>
      <c r="E11" s="318"/>
      <c r="F11" s="318"/>
      <c r="G11" s="318"/>
      <c r="L11" s="8"/>
      <c r="O11" s="281"/>
    </row>
    <row r="12" spans="1:15" s="7" customFormat="1" ht="13.5" customHeight="1">
      <c r="A12" s="318"/>
      <c r="B12" s="318"/>
      <c r="C12" s="318"/>
      <c r="D12" s="318"/>
      <c r="E12" s="4"/>
      <c r="F12" s="4"/>
      <c r="L12" s="8"/>
      <c r="O12" s="281"/>
    </row>
    <row r="13" spans="1:15" s="7" customFormat="1" ht="24" customHeight="1">
      <c r="A13" s="1"/>
      <c r="B13" s="2"/>
      <c r="C13" s="3"/>
      <c r="D13" s="4"/>
      <c r="E13" s="4"/>
      <c r="F13" s="4"/>
      <c r="H13" s="9"/>
      <c r="L13" s="8"/>
      <c r="O13" s="281"/>
    </row>
    <row r="14" spans="1:15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L14" s="8"/>
      <c r="O14" s="281"/>
    </row>
    <row r="15" spans="1:15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L15" s="8"/>
      <c r="O15" s="281"/>
    </row>
    <row r="16" spans="1:15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L16" s="8"/>
      <c r="O16" s="281"/>
    </row>
    <row r="17" spans="1:15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L17" s="8"/>
      <c r="O17" s="281"/>
    </row>
    <row r="18" spans="1:15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L18" s="8"/>
      <c r="O18" s="281"/>
    </row>
    <row r="19" spans="1:15" s="7" customFormat="1" ht="37.5" customHeight="1">
      <c r="A19" s="336"/>
      <c r="B19" s="336"/>
      <c r="C19" s="336"/>
      <c r="D19" s="336"/>
      <c r="E19" s="337"/>
      <c r="F19" s="338"/>
      <c r="G19" s="10" t="s">
        <v>4</v>
      </c>
      <c r="H19" s="11" t="s">
        <v>5</v>
      </c>
      <c r="L19" s="8"/>
      <c r="O19" s="281"/>
    </row>
    <row r="20" spans="1:15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15">
        <v>5</v>
      </c>
      <c r="H20" s="16">
        <v>6</v>
      </c>
      <c r="L20" s="8"/>
      <c r="O20" s="281"/>
    </row>
    <row r="21" spans="1:15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3"/>
      <c r="H21" s="23"/>
      <c r="L21" s="25"/>
      <c r="O21" s="192"/>
    </row>
    <row r="22" spans="1:15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41">
        <f>G23+G30+G35+G36</f>
        <v>49487</v>
      </c>
      <c r="H22" s="184"/>
      <c r="I22" s="32"/>
      <c r="J22" s="33">
        <v>1001</v>
      </c>
      <c r="K22" s="41">
        <v>49487</v>
      </c>
      <c r="L22" s="34">
        <f t="shared" ref="L22:L85" si="0">G22-K22</f>
        <v>0</v>
      </c>
      <c r="N22" s="32"/>
    </row>
    <row r="23" spans="1:15" ht="25.5" customHeight="1">
      <c r="A23" s="29"/>
      <c r="B23" s="35"/>
      <c r="C23" s="35"/>
      <c r="D23" s="28" t="s">
        <v>292</v>
      </c>
      <c r="E23" s="29" t="s">
        <v>107</v>
      </c>
      <c r="F23" s="36"/>
      <c r="G23" s="83">
        <f>G24+G25-G26-G27-G28+G29</f>
        <v>49336</v>
      </c>
      <c r="H23" s="185"/>
      <c r="I23" s="32"/>
      <c r="J23" s="33">
        <v>1002</v>
      </c>
      <c r="K23" s="83">
        <v>49336</v>
      </c>
      <c r="L23" s="34">
        <f t="shared" si="0"/>
        <v>0</v>
      </c>
      <c r="N23" s="32"/>
      <c r="O23" s="282"/>
    </row>
    <row r="24" spans="1:15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189">
        <f>K24</f>
        <v>0</v>
      </c>
      <c r="H24" s="186"/>
      <c r="I24" s="32"/>
      <c r="J24" s="33">
        <v>1003</v>
      </c>
      <c r="K24" s="189">
        <v>0</v>
      </c>
      <c r="L24" s="34">
        <f t="shared" si="0"/>
        <v>0</v>
      </c>
      <c r="N24" s="32"/>
    </row>
    <row r="25" spans="1:15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189">
        <f>K25</f>
        <v>70122</v>
      </c>
      <c r="H25" s="186"/>
      <c r="I25" s="32"/>
      <c r="J25" s="33">
        <v>1004</v>
      </c>
      <c r="K25" s="189">
        <v>70122</v>
      </c>
      <c r="L25" s="34">
        <f t="shared" si="0"/>
        <v>0</v>
      </c>
      <c r="N25" s="32"/>
    </row>
    <row r="26" spans="1:15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189">
        <f t="shared" ref="G26:G29" si="1">K26</f>
        <v>0</v>
      </c>
      <c r="H26" s="186"/>
      <c r="I26" s="32"/>
      <c r="J26" s="33">
        <v>1005</v>
      </c>
      <c r="K26" s="189">
        <v>0</v>
      </c>
      <c r="L26" s="34">
        <f t="shared" si="0"/>
        <v>0</v>
      </c>
      <c r="N26" s="32"/>
      <c r="O26" s="282"/>
    </row>
    <row r="27" spans="1:15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189">
        <f t="shared" si="1"/>
        <v>18794</v>
      </c>
      <c r="H27" s="186"/>
      <c r="I27" s="32"/>
      <c r="J27" s="33">
        <v>1006</v>
      </c>
      <c r="K27" s="189">
        <v>18794</v>
      </c>
      <c r="L27" s="34">
        <f t="shared" si="0"/>
        <v>0</v>
      </c>
      <c r="N27" s="32"/>
    </row>
    <row r="28" spans="1:15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189">
        <f t="shared" si="1"/>
        <v>1992</v>
      </c>
      <c r="H28" s="186"/>
      <c r="I28" s="32"/>
      <c r="J28" s="33">
        <v>1007</v>
      </c>
      <c r="K28" s="189">
        <v>1992</v>
      </c>
      <c r="L28" s="34">
        <f t="shared" si="0"/>
        <v>0</v>
      </c>
      <c r="N28" s="32"/>
    </row>
    <row r="29" spans="1:15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189">
        <f t="shared" si="1"/>
        <v>0</v>
      </c>
      <c r="H29" s="186"/>
      <c r="I29" s="32"/>
      <c r="J29" s="33">
        <v>1008</v>
      </c>
      <c r="K29" s="189">
        <v>0</v>
      </c>
      <c r="L29" s="34">
        <f t="shared" si="0"/>
        <v>0</v>
      </c>
      <c r="N29" s="32"/>
    </row>
    <row r="30" spans="1:15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f>G31-G32-G33+G34</f>
        <v>0</v>
      </c>
      <c r="H30" s="185"/>
      <c r="I30" s="32"/>
      <c r="J30" s="33">
        <v>1009</v>
      </c>
      <c r="K30" s="83">
        <v>0</v>
      </c>
      <c r="L30" s="34">
        <f t="shared" si="0"/>
        <v>0</v>
      </c>
      <c r="N30" s="32"/>
    </row>
    <row r="31" spans="1:15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189">
        <f>K31</f>
        <v>0</v>
      </c>
      <c r="H31" s="186"/>
      <c r="I31" s="32"/>
      <c r="J31" s="33">
        <v>1010</v>
      </c>
      <c r="K31" s="189">
        <v>0</v>
      </c>
      <c r="L31" s="34">
        <f t="shared" si="0"/>
        <v>0</v>
      </c>
      <c r="N31" s="32"/>
    </row>
    <row r="32" spans="1:15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189">
        <f t="shared" ref="G32:G36" si="2">K32</f>
        <v>0</v>
      </c>
      <c r="H32" s="186"/>
      <c r="I32" s="32"/>
      <c r="J32" s="33">
        <v>1011</v>
      </c>
      <c r="K32" s="189">
        <v>0</v>
      </c>
      <c r="L32" s="34">
        <f t="shared" si="0"/>
        <v>0</v>
      </c>
      <c r="N32" s="32"/>
    </row>
    <row r="33" spans="1:14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189">
        <f t="shared" si="2"/>
        <v>0</v>
      </c>
      <c r="H33" s="186"/>
      <c r="I33" s="32"/>
      <c r="J33" s="33">
        <v>1012</v>
      </c>
      <c r="K33" s="189">
        <v>0</v>
      </c>
      <c r="L33" s="34">
        <f t="shared" si="0"/>
        <v>0</v>
      </c>
      <c r="N33" s="32"/>
    </row>
    <row r="34" spans="1:14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189">
        <f t="shared" si="2"/>
        <v>0</v>
      </c>
      <c r="H34" s="186"/>
      <c r="I34" s="32"/>
      <c r="J34" s="33">
        <v>1013</v>
      </c>
      <c r="K34" s="189">
        <v>0</v>
      </c>
      <c r="L34" s="34">
        <f t="shared" si="0"/>
        <v>0</v>
      </c>
      <c r="N34" s="32"/>
    </row>
    <row r="35" spans="1:14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3">
        <f>K35</f>
        <v>83</v>
      </c>
      <c r="H35" s="185"/>
      <c r="I35" s="32"/>
      <c r="J35" s="33">
        <v>1014</v>
      </c>
      <c r="K35" s="83">
        <v>83</v>
      </c>
      <c r="L35" s="34">
        <f t="shared" si="0"/>
        <v>0</v>
      </c>
      <c r="N35" s="32"/>
    </row>
    <row r="36" spans="1:14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3">
        <f t="shared" si="2"/>
        <v>68</v>
      </c>
      <c r="H36" s="185"/>
      <c r="I36" s="32"/>
      <c r="J36" s="33">
        <v>1015</v>
      </c>
      <c r="K36" s="83">
        <v>68</v>
      </c>
      <c r="L36" s="34">
        <f t="shared" si="0"/>
        <v>0</v>
      </c>
      <c r="N36" s="32"/>
    </row>
    <row r="37" spans="1:14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41">
        <f>G38+G47+G55-G56-G65+G66-G67+G68+G69</f>
        <v>35709</v>
      </c>
      <c r="H37" s="184"/>
      <c r="I37" s="32"/>
      <c r="J37" s="33">
        <v>1016</v>
      </c>
      <c r="K37" s="41">
        <v>35710</v>
      </c>
      <c r="L37" s="34">
        <f t="shared" si="0"/>
        <v>-1</v>
      </c>
      <c r="N37" s="32"/>
    </row>
    <row r="38" spans="1:14" ht="32.25" customHeight="1">
      <c r="A38" s="29"/>
      <c r="B38" s="35"/>
      <c r="C38" s="35"/>
      <c r="D38" s="28" t="s">
        <v>295</v>
      </c>
      <c r="E38" s="29" t="s">
        <v>128</v>
      </c>
      <c r="F38" s="36"/>
      <c r="G38" s="83">
        <f>G39+G40+G41+G42+G43+G44+G45+G46</f>
        <v>9971</v>
      </c>
      <c r="H38" s="185"/>
      <c r="I38" s="32"/>
      <c r="J38" s="33">
        <v>1017</v>
      </c>
      <c r="K38" s="83">
        <v>9971</v>
      </c>
      <c r="L38" s="34">
        <f t="shared" si="0"/>
        <v>0</v>
      </c>
      <c r="N38" s="32"/>
    </row>
    <row r="39" spans="1:14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189">
        <f>K39</f>
        <v>0</v>
      </c>
      <c r="H39" s="186"/>
      <c r="I39" s="32"/>
      <c r="J39" s="33">
        <v>1018</v>
      </c>
      <c r="K39" s="189">
        <v>0</v>
      </c>
      <c r="L39" s="34">
        <f t="shared" si="0"/>
        <v>0</v>
      </c>
      <c r="N39" s="32"/>
    </row>
    <row r="40" spans="1:14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189">
        <f t="shared" ref="G40:G46" si="3">K40</f>
        <v>0</v>
      </c>
      <c r="H40" s="186"/>
      <c r="I40" s="32"/>
      <c r="J40" s="33">
        <v>1019</v>
      </c>
      <c r="K40" s="189">
        <v>0</v>
      </c>
      <c r="L40" s="34">
        <f t="shared" si="0"/>
        <v>0</v>
      </c>
      <c r="N40" s="32"/>
    </row>
    <row r="41" spans="1:14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189">
        <f t="shared" si="3"/>
        <v>816</v>
      </c>
      <c r="H41" s="186"/>
      <c r="I41" s="32"/>
      <c r="J41" s="33">
        <v>1020</v>
      </c>
      <c r="K41" s="189">
        <v>816</v>
      </c>
      <c r="L41" s="34">
        <f t="shared" si="0"/>
        <v>0</v>
      </c>
      <c r="N41" s="32"/>
    </row>
    <row r="42" spans="1:14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189">
        <f t="shared" si="3"/>
        <v>2</v>
      </c>
      <c r="H42" s="186"/>
      <c r="I42" s="32"/>
      <c r="J42" s="33">
        <v>1021</v>
      </c>
      <c r="K42" s="189">
        <v>2</v>
      </c>
      <c r="L42" s="34">
        <f t="shared" si="0"/>
        <v>0</v>
      </c>
      <c r="N42" s="32"/>
    </row>
    <row r="43" spans="1:14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189">
        <f t="shared" si="3"/>
        <v>0</v>
      </c>
      <c r="H43" s="186"/>
      <c r="I43" s="32"/>
      <c r="J43" s="33">
        <v>1022</v>
      </c>
      <c r="K43" s="189">
        <v>0</v>
      </c>
      <c r="L43" s="34">
        <f t="shared" si="0"/>
        <v>0</v>
      </c>
      <c r="N43" s="32"/>
    </row>
    <row r="44" spans="1:14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189">
        <f t="shared" si="3"/>
        <v>0</v>
      </c>
      <c r="H44" s="186"/>
      <c r="I44" s="32"/>
      <c r="J44" s="33">
        <v>1023</v>
      </c>
      <c r="K44" s="189">
        <v>0</v>
      </c>
      <c r="L44" s="34">
        <f t="shared" si="0"/>
        <v>0</v>
      </c>
      <c r="N44" s="32"/>
    </row>
    <row r="45" spans="1:14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189">
        <f t="shared" si="3"/>
        <v>9153</v>
      </c>
      <c r="H45" s="186"/>
      <c r="I45" s="32"/>
      <c r="J45" s="33">
        <v>1024</v>
      </c>
      <c r="K45" s="189">
        <v>9153</v>
      </c>
      <c r="L45" s="34">
        <f t="shared" si="0"/>
        <v>0</v>
      </c>
      <c r="N45" s="32"/>
    </row>
    <row r="46" spans="1:14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189">
        <f t="shared" si="3"/>
        <v>0</v>
      </c>
      <c r="H46" s="186"/>
      <c r="I46" s="32"/>
      <c r="J46" s="33">
        <v>1025</v>
      </c>
      <c r="K46" s="189">
        <v>0</v>
      </c>
      <c r="L46" s="34">
        <f t="shared" si="0"/>
        <v>0</v>
      </c>
      <c r="N46" s="32"/>
    </row>
    <row r="47" spans="1:14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21484</v>
      </c>
      <c r="H47" s="185"/>
      <c r="I47" s="32"/>
      <c r="J47" s="33">
        <v>1026</v>
      </c>
      <c r="K47" s="83">
        <v>21484</v>
      </c>
      <c r="L47" s="34">
        <f t="shared" si="0"/>
        <v>0</v>
      </c>
      <c r="N47" s="32"/>
    </row>
    <row r="48" spans="1:14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189">
        <f>K48</f>
        <v>0</v>
      </c>
      <c r="H48" s="186"/>
      <c r="I48" s="32"/>
      <c r="J48" s="33">
        <v>1027</v>
      </c>
      <c r="K48" s="189">
        <v>0</v>
      </c>
      <c r="L48" s="34">
        <f t="shared" si="0"/>
        <v>0</v>
      </c>
      <c r="N48" s="32"/>
    </row>
    <row r="49" spans="1:14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189">
        <f t="shared" ref="G49:G54" si="4">K49</f>
        <v>19804</v>
      </c>
      <c r="H49" s="186"/>
      <c r="I49" s="32"/>
      <c r="J49" s="33">
        <v>1028</v>
      </c>
      <c r="K49" s="189">
        <v>19804</v>
      </c>
      <c r="L49" s="34">
        <f t="shared" si="0"/>
        <v>0</v>
      </c>
      <c r="N49" s="32"/>
    </row>
    <row r="50" spans="1:14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189">
        <f t="shared" si="4"/>
        <v>0</v>
      </c>
      <c r="H50" s="186"/>
      <c r="I50" s="32"/>
      <c r="J50" s="33">
        <v>1029</v>
      </c>
      <c r="K50" s="189">
        <v>0</v>
      </c>
      <c r="L50" s="34">
        <f t="shared" si="0"/>
        <v>0</v>
      </c>
      <c r="N50" s="32"/>
    </row>
    <row r="51" spans="1:14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189">
        <f t="shared" si="4"/>
        <v>0</v>
      </c>
      <c r="H51" s="186"/>
      <c r="I51" s="32"/>
      <c r="J51" s="33">
        <v>1030</v>
      </c>
      <c r="K51" s="189">
        <v>0</v>
      </c>
      <c r="L51" s="34">
        <f t="shared" si="0"/>
        <v>0</v>
      </c>
      <c r="N51" s="32"/>
    </row>
    <row r="52" spans="1:14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189">
        <f t="shared" si="4"/>
        <v>1681</v>
      </c>
      <c r="H52" s="186"/>
      <c r="I52" s="32"/>
      <c r="J52" s="33">
        <v>1031</v>
      </c>
      <c r="K52" s="189">
        <v>1681</v>
      </c>
      <c r="L52" s="34">
        <f t="shared" si="0"/>
        <v>0</v>
      </c>
      <c r="N52" s="32"/>
    </row>
    <row r="53" spans="1:14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189">
        <f t="shared" si="4"/>
        <v>0</v>
      </c>
      <c r="H53" s="186"/>
      <c r="I53" s="32"/>
      <c r="J53" s="33">
        <v>1032</v>
      </c>
      <c r="K53" s="189">
        <v>0</v>
      </c>
      <c r="L53" s="34">
        <f t="shared" si="0"/>
        <v>0</v>
      </c>
      <c r="N53" s="32"/>
    </row>
    <row r="54" spans="1:14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189">
        <f t="shared" si="4"/>
        <v>1</v>
      </c>
      <c r="H54" s="186"/>
      <c r="I54" s="32"/>
      <c r="J54" s="33">
        <v>1033</v>
      </c>
      <c r="K54" s="189">
        <v>1</v>
      </c>
      <c r="L54" s="34">
        <f t="shared" si="0"/>
        <v>0</v>
      </c>
      <c r="N54" s="32"/>
    </row>
    <row r="55" spans="1:14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5508</v>
      </c>
      <c r="H55" s="185"/>
      <c r="I55" s="32"/>
      <c r="J55" s="33">
        <v>1034</v>
      </c>
      <c r="K55" s="83">
        <v>5508</v>
      </c>
      <c r="L55" s="34">
        <f t="shared" si="0"/>
        <v>0</v>
      </c>
      <c r="N55" s="32"/>
    </row>
    <row r="56" spans="1:14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0</v>
      </c>
      <c r="H56" s="187"/>
      <c r="I56" s="32"/>
      <c r="J56" s="33">
        <v>1035</v>
      </c>
      <c r="K56" s="190">
        <v>0</v>
      </c>
      <c r="L56" s="34">
        <f t="shared" si="0"/>
        <v>0</v>
      </c>
      <c r="N56" s="32"/>
    </row>
    <row r="57" spans="1:14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189">
        <f>K57</f>
        <v>0</v>
      </c>
      <c r="H57" s="186"/>
      <c r="I57" s="32"/>
      <c r="J57" s="33">
        <v>1036</v>
      </c>
      <c r="K57" s="189">
        <v>0</v>
      </c>
      <c r="L57" s="34">
        <f t="shared" si="0"/>
        <v>0</v>
      </c>
      <c r="N57" s="32"/>
    </row>
    <row r="58" spans="1:14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189">
        <f t="shared" ref="G58:G69" si="5">K58</f>
        <v>0</v>
      </c>
      <c r="H58" s="186"/>
      <c r="I58" s="32"/>
      <c r="J58" s="33">
        <v>1037</v>
      </c>
      <c r="K58" s="189">
        <v>0</v>
      </c>
      <c r="L58" s="34">
        <f t="shared" si="0"/>
        <v>0</v>
      </c>
      <c r="N58" s="32"/>
    </row>
    <row r="59" spans="1:14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189">
        <f t="shared" si="5"/>
        <v>6669</v>
      </c>
      <c r="H59" s="186"/>
      <c r="I59" s="32"/>
      <c r="J59" s="33">
        <v>1038</v>
      </c>
      <c r="K59" s="189">
        <v>6669</v>
      </c>
      <c r="L59" s="34">
        <f t="shared" si="0"/>
        <v>0</v>
      </c>
      <c r="N59" s="32"/>
    </row>
    <row r="60" spans="1:14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189">
        <f t="shared" si="5"/>
        <v>1161</v>
      </c>
      <c r="H60" s="186"/>
      <c r="I60" s="32"/>
      <c r="J60" s="33">
        <v>1039</v>
      </c>
      <c r="K60" s="189">
        <v>1161</v>
      </c>
      <c r="L60" s="34">
        <f t="shared" si="0"/>
        <v>0</v>
      </c>
      <c r="N60" s="32"/>
    </row>
    <row r="61" spans="1:14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189">
        <f t="shared" si="5"/>
        <v>0</v>
      </c>
      <c r="H61" s="186"/>
      <c r="I61" s="32"/>
      <c r="J61" s="33">
        <v>1040</v>
      </c>
      <c r="K61" s="189">
        <v>0</v>
      </c>
      <c r="L61" s="34">
        <f t="shared" si="0"/>
        <v>0</v>
      </c>
      <c r="N61" s="32"/>
    </row>
    <row r="62" spans="1:14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189">
        <f t="shared" si="5"/>
        <v>0</v>
      </c>
      <c r="H62" s="186"/>
      <c r="I62" s="32"/>
      <c r="J62" s="33">
        <v>1041</v>
      </c>
      <c r="K62" s="189">
        <v>0</v>
      </c>
      <c r="L62" s="34">
        <f t="shared" si="0"/>
        <v>0</v>
      </c>
      <c r="N62" s="32"/>
    </row>
    <row r="63" spans="1:14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189">
        <f t="shared" si="5"/>
        <v>0</v>
      </c>
      <c r="H63" s="186"/>
      <c r="I63" s="32"/>
      <c r="J63" s="33">
        <v>1042</v>
      </c>
      <c r="K63" s="189">
        <v>0</v>
      </c>
      <c r="L63" s="34">
        <f t="shared" si="0"/>
        <v>0</v>
      </c>
      <c r="N63" s="32"/>
    </row>
    <row r="64" spans="1:14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189">
        <f t="shared" si="5"/>
        <v>0</v>
      </c>
      <c r="H64" s="186"/>
      <c r="I64" s="32"/>
      <c r="J64" s="33">
        <v>1043</v>
      </c>
      <c r="K64" s="189">
        <v>0</v>
      </c>
      <c r="L64" s="34">
        <f t="shared" si="0"/>
        <v>0</v>
      </c>
      <c r="N64" s="32"/>
    </row>
    <row r="65" spans="1:14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3">
        <f>K65</f>
        <v>12275</v>
      </c>
      <c r="H65" s="185"/>
      <c r="I65" s="32"/>
      <c r="J65" s="33">
        <v>1044</v>
      </c>
      <c r="K65" s="83">
        <v>12275</v>
      </c>
      <c r="L65" s="34">
        <f t="shared" si="0"/>
        <v>0</v>
      </c>
      <c r="N65" s="32"/>
    </row>
    <row r="66" spans="1:14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3">
        <f t="shared" si="5"/>
        <v>0</v>
      </c>
      <c r="H66" s="185"/>
      <c r="I66" s="32"/>
      <c r="J66" s="33">
        <v>1045</v>
      </c>
      <c r="K66" s="83">
        <v>0</v>
      </c>
      <c r="L66" s="34">
        <f t="shared" si="0"/>
        <v>0</v>
      </c>
      <c r="N66" s="32"/>
    </row>
    <row r="67" spans="1:14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3">
        <f t="shared" si="5"/>
        <v>409</v>
      </c>
      <c r="H67" s="185"/>
      <c r="I67" s="32"/>
      <c r="J67" s="33">
        <v>1046</v>
      </c>
      <c r="K67" s="83">
        <v>409</v>
      </c>
      <c r="L67" s="34">
        <f t="shared" si="0"/>
        <v>0</v>
      </c>
      <c r="N67" s="32"/>
    </row>
    <row r="68" spans="1:14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3">
        <f t="shared" si="5"/>
        <v>11430</v>
      </c>
      <c r="H68" s="185"/>
      <c r="I68" s="32"/>
      <c r="J68" s="33">
        <v>1047</v>
      </c>
      <c r="K68" s="83">
        <v>11430</v>
      </c>
      <c r="L68" s="34">
        <f t="shared" si="0"/>
        <v>0</v>
      </c>
      <c r="N68" s="32"/>
    </row>
    <row r="69" spans="1:14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3">
        <f t="shared" si="5"/>
        <v>0</v>
      </c>
      <c r="H69" s="185"/>
      <c r="I69" s="32"/>
      <c r="J69" s="33">
        <v>1048</v>
      </c>
      <c r="K69" s="83">
        <v>0</v>
      </c>
      <c r="L69" s="34">
        <f t="shared" si="0"/>
        <v>0</v>
      </c>
      <c r="N69" s="32"/>
    </row>
    <row r="70" spans="1:14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13778</v>
      </c>
      <c r="H70" s="184"/>
      <c r="I70" s="32"/>
      <c r="J70" s="33">
        <v>1049</v>
      </c>
      <c r="K70" s="41">
        <v>13777</v>
      </c>
      <c r="L70" s="34">
        <f t="shared" si="0"/>
        <v>1</v>
      </c>
      <c r="N70" s="32"/>
    </row>
    <row r="71" spans="1:14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184"/>
      <c r="I71" s="32"/>
      <c r="J71" s="33">
        <v>1050</v>
      </c>
      <c r="K71" s="41">
        <v>0</v>
      </c>
      <c r="L71" s="34">
        <f t="shared" si="0"/>
        <v>0</v>
      </c>
      <c r="N71" s="32"/>
    </row>
    <row r="72" spans="1:14" ht="25.5">
      <c r="A72" s="26"/>
      <c r="B72" s="27" t="s">
        <v>56</v>
      </c>
      <c r="C72" s="27"/>
      <c r="D72" s="42" t="s">
        <v>301</v>
      </c>
      <c r="E72" s="29"/>
      <c r="F72" s="30"/>
      <c r="G72" s="41"/>
      <c r="H72" s="184"/>
      <c r="I72" s="32"/>
      <c r="J72" s="43"/>
      <c r="K72" s="250"/>
      <c r="L72" s="45">
        <f t="shared" si="0"/>
        <v>0</v>
      </c>
      <c r="N72" s="32"/>
    </row>
    <row r="73" spans="1:14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3929</v>
      </c>
      <c r="H73" s="184"/>
      <c r="I73" s="32"/>
      <c r="J73" s="33">
        <v>1051</v>
      </c>
      <c r="K73" s="41">
        <v>3881</v>
      </c>
      <c r="L73" s="34">
        <f t="shared" si="0"/>
        <v>48</v>
      </c>
      <c r="N73" s="32"/>
    </row>
    <row r="74" spans="1:14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108">
        <f>K74</f>
        <v>118</v>
      </c>
      <c r="H74" s="186"/>
      <c r="I74" s="32"/>
      <c r="J74" s="33">
        <v>1052</v>
      </c>
      <c r="K74" s="189">
        <v>118</v>
      </c>
      <c r="L74" s="34">
        <f t="shared" si="0"/>
        <v>0</v>
      </c>
      <c r="N74" s="32"/>
    </row>
    <row r="75" spans="1:14" ht="15.75" customHeight="1">
      <c r="A75" s="26"/>
      <c r="B75" s="27"/>
      <c r="C75" s="27"/>
      <c r="D75" s="39" t="s">
        <v>188</v>
      </c>
      <c r="E75" s="29" t="s">
        <v>190</v>
      </c>
      <c r="F75" s="30"/>
      <c r="G75" s="108">
        <f>G76+G77+G78</f>
        <v>403</v>
      </c>
      <c r="H75" s="186"/>
      <c r="I75" s="32"/>
      <c r="J75" s="33">
        <v>1053</v>
      </c>
      <c r="K75" s="189">
        <v>403</v>
      </c>
      <c r="L75" s="34">
        <f t="shared" si="0"/>
        <v>0</v>
      </c>
      <c r="N75" s="32"/>
    </row>
    <row r="76" spans="1:14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108">
        <f>K76</f>
        <v>321</v>
      </c>
      <c r="H76" s="186"/>
      <c r="I76" s="32"/>
      <c r="J76" s="33">
        <v>1054</v>
      </c>
      <c r="K76" s="189">
        <v>321</v>
      </c>
      <c r="L76" s="34">
        <f t="shared" si="0"/>
        <v>0</v>
      </c>
      <c r="N76" s="32"/>
    </row>
    <row r="77" spans="1:14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108">
        <f t="shared" ref="G77:G83" si="6">K77</f>
        <v>80</v>
      </c>
      <c r="H77" s="186"/>
      <c r="I77" s="32"/>
      <c r="J77" s="33">
        <v>1055</v>
      </c>
      <c r="K77" s="189">
        <v>80</v>
      </c>
      <c r="L77" s="34">
        <f t="shared" si="0"/>
        <v>0</v>
      </c>
      <c r="N77" s="32"/>
    </row>
    <row r="78" spans="1:14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108">
        <f t="shared" si="6"/>
        <v>2</v>
      </c>
      <c r="H78" s="186"/>
      <c r="I78" s="32"/>
      <c r="J78" s="33">
        <v>1056</v>
      </c>
      <c r="K78" s="189">
        <v>2</v>
      </c>
      <c r="L78" s="34">
        <f t="shared" si="0"/>
        <v>0</v>
      </c>
      <c r="N78" s="32"/>
    </row>
    <row r="79" spans="1:14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108">
        <f t="shared" si="6"/>
        <v>458</v>
      </c>
      <c r="H79" s="186"/>
      <c r="I79" s="32"/>
      <c r="J79" s="33">
        <v>1057</v>
      </c>
      <c r="K79" s="189">
        <v>458</v>
      </c>
      <c r="L79" s="34">
        <f t="shared" si="0"/>
        <v>0</v>
      </c>
      <c r="N79" s="32"/>
    </row>
    <row r="80" spans="1:14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108">
        <f t="shared" si="6"/>
        <v>776</v>
      </c>
      <c r="H80" s="186"/>
      <c r="I80" s="32"/>
      <c r="J80" s="33">
        <v>1058</v>
      </c>
      <c r="K80" s="189">
        <v>776</v>
      </c>
      <c r="L80" s="34">
        <f t="shared" si="0"/>
        <v>0</v>
      </c>
      <c r="N80" s="32"/>
    </row>
    <row r="81" spans="1:14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108">
        <f>K81+48</f>
        <v>1687</v>
      </c>
      <c r="H81" s="186"/>
      <c r="I81" s="32"/>
      <c r="J81" s="33">
        <v>1059</v>
      </c>
      <c r="K81" s="189">
        <v>1639</v>
      </c>
      <c r="L81" s="34">
        <f t="shared" si="0"/>
        <v>48</v>
      </c>
      <c r="N81" s="32"/>
    </row>
    <row r="82" spans="1:14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108">
        <f t="shared" si="6"/>
        <v>276</v>
      </c>
      <c r="H82" s="186"/>
      <c r="I82" s="32"/>
      <c r="J82" s="33">
        <v>1060</v>
      </c>
      <c r="K82" s="189">
        <v>276</v>
      </c>
      <c r="L82" s="34">
        <f t="shared" si="0"/>
        <v>0</v>
      </c>
      <c r="N82" s="32"/>
    </row>
    <row r="83" spans="1:14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108">
        <f t="shared" si="6"/>
        <v>211</v>
      </c>
      <c r="H83" s="186"/>
      <c r="I83" s="32"/>
      <c r="J83" s="33">
        <v>1061</v>
      </c>
      <c r="K83" s="189">
        <v>211</v>
      </c>
      <c r="L83" s="34">
        <f t="shared" si="0"/>
        <v>0</v>
      </c>
      <c r="N83" s="32"/>
    </row>
    <row r="84" spans="1:14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538</v>
      </c>
      <c r="H84" s="184"/>
      <c r="I84" s="32"/>
      <c r="J84" s="33">
        <v>1062</v>
      </c>
      <c r="K84" s="41">
        <v>586</v>
      </c>
      <c r="L84" s="34">
        <f t="shared" si="0"/>
        <v>-48</v>
      </c>
      <c r="N84" s="32"/>
    </row>
    <row r="85" spans="1:14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189">
        <f>K85</f>
        <v>0</v>
      </c>
      <c r="H85" s="186"/>
      <c r="I85" s="32"/>
      <c r="J85" s="70">
        <v>1063</v>
      </c>
      <c r="K85" s="189">
        <v>0</v>
      </c>
      <c r="L85" s="71">
        <f t="shared" si="0"/>
        <v>0</v>
      </c>
      <c r="N85" s="32"/>
    </row>
    <row r="86" spans="1:14" ht="15">
      <c r="A86" s="26"/>
      <c r="B86" s="35"/>
      <c r="C86" s="35"/>
      <c r="D86" s="39" t="s">
        <v>304</v>
      </c>
      <c r="E86" s="29" t="s">
        <v>218</v>
      </c>
      <c r="F86" s="30"/>
      <c r="G86" s="189">
        <f>G87+G88</f>
        <v>340</v>
      </c>
      <c r="H86" s="186"/>
      <c r="I86" s="32"/>
      <c r="J86" s="70">
        <v>1064</v>
      </c>
      <c r="K86" s="189">
        <v>340</v>
      </c>
      <c r="L86" s="71">
        <f t="shared" ref="L86:L134" si="7">G86-K86</f>
        <v>0</v>
      </c>
      <c r="N86" s="32"/>
    </row>
    <row r="87" spans="1:14" ht="1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189">
        <f t="shared" ref="G87:G92" si="8">K87</f>
        <v>340</v>
      </c>
      <c r="H87" s="186"/>
      <c r="I87" s="32"/>
      <c r="J87" s="70">
        <v>1065</v>
      </c>
      <c r="K87" s="189">
        <v>340</v>
      </c>
      <c r="L87" s="71">
        <f t="shared" si="7"/>
        <v>0</v>
      </c>
      <c r="N87" s="32"/>
    </row>
    <row r="88" spans="1:14" ht="1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189">
        <f t="shared" si="8"/>
        <v>0</v>
      </c>
      <c r="H88" s="186"/>
      <c r="I88" s="32"/>
      <c r="J88" s="70">
        <v>1066</v>
      </c>
      <c r="K88" s="189">
        <v>0</v>
      </c>
      <c r="L88" s="71">
        <f t="shared" si="7"/>
        <v>0</v>
      </c>
      <c r="N88" s="32"/>
    </row>
    <row r="89" spans="1:14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189">
        <f t="shared" si="8"/>
        <v>97</v>
      </c>
      <c r="H89" s="186"/>
      <c r="I89" s="32"/>
      <c r="J89" s="70">
        <v>1067</v>
      </c>
      <c r="K89" s="189">
        <v>97</v>
      </c>
      <c r="L89" s="71">
        <f t="shared" si="7"/>
        <v>0</v>
      </c>
      <c r="N89" s="32"/>
    </row>
    <row r="90" spans="1:14" ht="1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189">
        <f>-48+48</f>
        <v>0</v>
      </c>
      <c r="H90" s="186"/>
      <c r="I90" s="32"/>
      <c r="J90" s="70">
        <v>1068</v>
      </c>
      <c r="K90" s="189">
        <v>48</v>
      </c>
      <c r="L90" s="71">
        <f t="shared" si="7"/>
        <v>-48</v>
      </c>
      <c r="N90" s="32"/>
    </row>
    <row r="91" spans="1:14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189">
        <f t="shared" si="8"/>
        <v>101</v>
      </c>
      <c r="H91" s="186"/>
      <c r="I91" s="32"/>
      <c r="J91" s="70">
        <v>1069</v>
      </c>
      <c r="K91" s="189">
        <v>101</v>
      </c>
      <c r="L91" s="71">
        <f t="shared" si="7"/>
        <v>0</v>
      </c>
      <c r="N91" s="32"/>
    </row>
    <row r="92" spans="1:14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189">
        <f t="shared" si="8"/>
        <v>0</v>
      </c>
      <c r="H92" s="186"/>
      <c r="I92" s="32"/>
      <c r="J92" s="70">
        <v>1070</v>
      </c>
      <c r="K92" s="189">
        <v>0</v>
      </c>
      <c r="L92" s="71">
        <f t="shared" si="7"/>
        <v>0</v>
      </c>
      <c r="N92" s="32"/>
    </row>
    <row r="93" spans="1:14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3391</v>
      </c>
      <c r="H93" s="184"/>
      <c r="I93" s="32"/>
      <c r="J93" s="33">
        <v>1071</v>
      </c>
      <c r="K93" s="41">
        <v>3295</v>
      </c>
      <c r="L93" s="34">
        <f t="shared" si="7"/>
        <v>96</v>
      </c>
      <c r="N93" s="32"/>
    </row>
    <row r="94" spans="1:14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184"/>
      <c r="I94" s="32"/>
      <c r="J94" s="33">
        <v>1072</v>
      </c>
      <c r="K94" s="41">
        <v>0</v>
      </c>
      <c r="L94" s="34">
        <f t="shared" si="7"/>
        <v>0</v>
      </c>
      <c r="N94" s="32"/>
    </row>
    <row r="95" spans="1:14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14166</v>
      </c>
      <c r="H95" s="184"/>
      <c r="I95" s="32"/>
      <c r="J95" s="33">
        <v>1073</v>
      </c>
      <c r="K95" s="41">
        <v>14166</v>
      </c>
      <c r="L95" s="34">
        <f t="shared" si="7"/>
        <v>0</v>
      </c>
      <c r="N95" s="32"/>
    </row>
    <row r="96" spans="1:14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11441</v>
      </c>
      <c r="H96" s="185"/>
      <c r="I96" s="32"/>
      <c r="J96" s="33">
        <v>1074</v>
      </c>
      <c r="K96" s="83">
        <v>11441</v>
      </c>
      <c r="L96" s="34">
        <f t="shared" si="7"/>
        <v>0</v>
      </c>
      <c r="N96" s="32"/>
    </row>
    <row r="97" spans="1:14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2000-20</f>
        <v>1980</v>
      </c>
      <c r="H97" s="186"/>
      <c r="I97" s="32"/>
      <c r="J97" s="33">
        <v>1075</v>
      </c>
      <c r="K97" s="189">
        <v>2000</v>
      </c>
      <c r="L97" s="34">
        <f t="shared" si="7"/>
        <v>-20</v>
      </c>
      <c r="N97" s="32"/>
    </row>
    <row r="98" spans="1:14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9441-266</f>
        <v>9175</v>
      </c>
      <c r="H98" s="186"/>
      <c r="I98" s="32"/>
      <c r="J98" s="33">
        <v>1076</v>
      </c>
      <c r="K98" s="189">
        <v>9441</v>
      </c>
      <c r="L98" s="34">
        <f t="shared" si="7"/>
        <v>-266</v>
      </c>
      <c r="N98" s="32"/>
    </row>
    <row r="99" spans="1:14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v>0</v>
      </c>
      <c r="H99" s="186"/>
      <c r="I99" s="32"/>
      <c r="J99" s="33">
        <v>1077</v>
      </c>
      <c r="K99" s="189">
        <v>0</v>
      </c>
      <c r="L99" s="34">
        <f t="shared" si="7"/>
        <v>0</v>
      </c>
      <c r="N99" s="32"/>
    </row>
    <row r="100" spans="1:14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v>286</v>
      </c>
      <c r="H100" s="186"/>
      <c r="I100" s="32"/>
      <c r="J100" s="33">
        <v>1078</v>
      </c>
      <c r="K100" s="189">
        <v>0</v>
      </c>
      <c r="L100" s="34">
        <f t="shared" si="7"/>
        <v>286</v>
      </c>
      <c r="N100" s="32"/>
    </row>
    <row r="101" spans="1:14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6052</v>
      </c>
      <c r="H101" s="185"/>
      <c r="I101" s="32"/>
      <c r="J101" s="33">
        <v>1079</v>
      </c>
      <c r="K101" s="83">
        <v>6052</v>
      </c>
      <c r="L101" s="34">
        <f t="shared" si="7"/>
        <v>0</v>
      </c>
      <c r="N101" s="32"/>
    </row>
    <row r="102" spans="1:14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189">
        <f>K102</f>
        <v>1525</v>
      </c>
      <c r="H102" s="186"/>
      <c r="I102" s="32"/>
      <c r="J102" s="33">
        <v>1080</v>
      </c>
      <c r="K102" s="189">
        <v>1525</v>
      </c>
      <c r="L102" s="34">
        <f t="shared" si="7"/>
        <v>0</v>
      </c>
      <c r="N102" s="32"/>
    </row>
    <row r="103" spans="1:14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189">
        <f t="shared" ref="G103:G107" si="9">K103</f>
        <v>1389</v>
      </c>
      <c r="H103" s="186"/>
      <c r="I103" s="32"/>
      <c r="J103" s="33">
        <v>1081</v>
      </c>
      <c r="K103" s="189">
        <v>1389</v>
      </c>
      <c r="L103" s="34">
        <f t="shared" si="7"/>
        <v>0</v>
      </c>
      <c r="N103" s="32"/>
    </row>
    <row r="104" spans="1:14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189">
        <f t="shared" si="9"/>
        <v>2930</v>
      </c>
      <c r="H104" s="186"/>
      <c r="I104" s="32"/>
      <c r="J104" s="33">
        <v>1082</v>
      </c>
      <c r="K104" s="189">
        <v>2930</v>
      </c>
      <c r="L104" s="34">
        <f t="shared" si="7"/>
        <v>0</v>
      </c>
      <c r="N104" s="32"/>
    </row>
    <row r="105" spans="1:14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189">
        <f t="shared" si="9"/>
        <v>208</v>
      </c>
      <c r="H105" s="186"/>
      <c r="I105" s="32"/>
      <c r="J105" s="33">
        <v>1083</v>
      </c>
      <c r="K105" s="189">
        <v>208</v>
      </c>
      <c r="L105" s="34">
        <f t="shared" si="7"/>
        <v>0</v>
      </c>
      <c r="N105" s="32"/>
    </row>
    <row r="106" spans="1:14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3">
        <f>K106</f>
        <v>443</v>
      </c>
      <c r="H106" s="185"/>
      <c r="I106" s="32"/>
      <c r="J106" s="33">
        <v>1084</v>
      </c>
      <c r="K106" s="83">
        <v>443</v>
      </c>
      <c r="L106" s="34">
        <f t="shared" si="7"/>
        <v>0</v>
      </c>
      <c r="N106" s="32"/>
    </row>
    <row r="107" spans="1:14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3">
        <f t="shared" si="9"/>
        <v>3770</v>
      </c>
      <c r="H107" s="185"/>
      <c r="I107" s="32"/>
      <c r="J107" s="33">
        <v>1085</v>
      </c>
      <c r="K107" s="83">
        <v>3770</v>
      </c>
      <c r="L107" s="34">
        <f t="shared" si="7"/>
        <v>0</v>
      </c>
      <c r="N107" s="32"/>
    </row>
    <row r="108" spans="1:14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3003</v>
      </c>
      <c r="H108" s="188"/>
      <c r="I108" s="32"/>
      <c r="J108" s="33">
        <v>1086</v>
      </c>
      <c r="K108" s="191">
        <v>2906</v>
      </c>
      <c r="L108" s="34">
        <f t="shared" si="7"/>
        <v>97</v>
      </c>
      <c r="N108" s="32"/>
    </row>
    <row r="109" spans="1:14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0</v>
      </c>
      <c r="H109" s="188"/>
      <c r="I109" s="32"/>
      <c r="J109" s="33">
        <v>1087</v>
      </c>
      <c r="K109" s="191">
        <v>0</v>
      </c>
      <c r="L109" s="34">
        <f t="shared" si="7"/>
        <v>0</v>
      </c>
      <c r="N109" s="32"/>
    </row>
    <row r="110" spans="1:14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3">
        <f>K110</f>
        <v>112</v>
      </c>
      <c r="H110" s="185"/>
      <c r="I110" s="32"/>
      <c r="J110" s="33">
        <v>1088</v>
      </c>
      <c r="K110" s="83">
        <v>112</v>
      </c>
      <c r="L110" s="34">
        <f t="shared" si="7"/>
        <v>0</v>
      </c>
      <c r="N110" s="32"/>
    </row>
    <row r="111" spans="1:14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3">
        <f t="shared" ref="G111:G113" si="10">K111</f>
        <v>1698</v>
      </c>
      <c r="H111" s="185"/>
      <c r="I111" s="32"/>
      <c r="J111" s="33">
        <v>1089</v>
      </c>
      <c r="K111" s="83">
        <v>1698</v>
      </c>
      <c r="L111" s="34">
        <f t="shared" si="7"/>
        <v>0</v>
      </c>
      <c r="N111" s="32"/>
    </row>
    <row r="112" spans="1:14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3">
        <f t="shared" si="10"/>
        <v>843</v>
      </c>
      <c r="H112" s="185"/>
      <c r="I112" s="32"/>
      <c r="J112" s="33">
        <v>1090</v>
      </c>
      <c r="K112" s="83">
        <v>843</v>
      </c>
      <c r="L112" s="34">
        <f t="shared" si="7"/>
        <v>0</v>
      </c>
      <c r="N112" s="32"/>
    </row>
    <row r="113" spans="1:14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3">
        <f t="shared" si="10"/>
        <v>2696</v>
      </c>
      <c r="H113" s="185"/>
      <c r="I113" s="32"/>
      <c r="J113" s="33">
        <v>1091</v>
      </c>
      <c r="K113" s="83">
        <v>2696</v>
      </c>
      <c r="L113" s="34">
        <f t="shared" si="7"/>
        <v>0</v>
      </c>
      <c r="N113" s="32"/>
    </row>
    <row r="114" spans="1:14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3">
        <f>K114</f>
        <v>1059</v>
      </c>
      <c r="H114" s="185"/>
      <c r="I114" s="32"/>
      <c r="J114" s="33">
        <v>1092</v>
      </c>
      <c r="K114" s="83">
        <v>1059</v>
      </c>
      <c r="L114" s="34">
        <f t="shared" si="7"/>
        <v>0</v>
      </c>
      <c r="N114" s="32"/>
    </row>
    <row r="115" spans="1:14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3">
        <f>383+2</f>
        <v>385</v>
      </c>
      <c r="H115" s="185"/>
      <c r="I115" s="32"/>
      <c r="J115" s="33">
        <v>1093</v>
      </c>
      <c r="K115" s="83">
        <v>383</v>
      </c>
      <c r="L115" s="34">
        <f t="shared" si="7"/>
        <v>2</v>
      </c>
      <c r="N115" s="32"/>
    </row>
    <row r="116" spans="1:14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238</v>
      </c>
      <c r="H116" s="188"/>
      <c r="I116" s="32"/>
      <c r="J116" s="33">
        <v>1094</v>
      </c>
      <c r="K116" s="191">
        <v>143</v>
      </c>
      <c r="L116" s="34">
        <f t="shared" si="7"/>
        <v>95</v>
      </c>
      <c r="N116" s="32"/>
    </row>
    <row r="117" spans="1:14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0</v>
      </c>
      <c r="H117" s="184"/>
      <c r="I117" s="32"/>
      <c r="J117" s="33">
        <v>1095</v>
      </c>
      <c r="K117" s="41">
        <v>0</v>
      </c>
      <c r="L117" s="34">
        <f t="shared" si="7"/>
        <v>0</v>
      </c>
      <c r="N117" s="32"/>
    </row>
    <row r="118" spans="1:14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3">
        <f>K118</f>
        <v>1</v>
      </c>
      <c r="H118" s="185"/>
      <c r="I118" s="32"/>
      <c r="J118" s="33">
        <v>1096</v>
      </c>
      <c r="K118" s="83">
        <v>1</v>
      </c>
      <c r="L118" s="34">
        <f t="shared" si="7"/>
        <v>0</v>
      </c>
      <c r="N118" s="32"/>
    </row>
    <row r="119" spans="1:14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3">
        <f>K119</f>
        <v>0</v>
      </c>
      <c r="H119" s="185"/>
      <c r="I119" s="32"/>
      <c r="J119" s="33">
        <v>1097</v>
      </c>
      <c r="K119" s="83">
        <v>0</v>
      </c>
      <c r="L119" s="34">
        <f t="shared" si="7"/>
        <v>0</v>
      </c>
      <c r="N119" s="32"/>
    </row>
    <row r="120" spans="1:14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3">
        <f>IF((G116+G118-G117-G119)&gt;0,(G116+G118-G117-G119),0)</f>
        <v>239</v>
      </c>
      <c r="H120" s="185"/>
      <c r="I120" s="32"/>
      <c r="J120" s="33">
        <v>1098</v>
      </c>
      <c r="K120" s="83">
        <v>144</v>
      </c>
      <c r="L120" s="34">
        <f t="shared" si="7"/>
        <v>95</v>
      </c>
      <c r="N120" s="32"/>
    </row>
    <row r="121" spans="1:14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3">
        <f>IF((G116+G118-G117-G119)&lt;0,-(G116+G118-G117-G119),0)</f>
        <v>0</v>
      </c>
      <c r="H121" s="185"/>
      <c r="I121" s="32"/>
      <c r="J121" s="33">
        <v>1099</v>
      </c>
      <c r="K121" s="83">
        <v>0</v>
      </c>
      <c r="L121" s="34">
        <f t="shared" si="7"/>
        <v>0</v>
      </c>
      <c r="N121" s="32"/>
    </row>
    <row r="122" spans="1:14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189"/>
      <c r="H122" s="186"/>
      <c r="I122" s="32"/>
      <c r="J122" s="43"/>
      <c r="K122" s="250"/>
      <c r="L122" s="45">
        <f t="shared" si="7"/>
        <v>0</v>
      </c>
      <c r="N122" s="32"/>
    </row>
    <row r="123" spans="1:14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189">
        <f t="shared" ref="G123:G125" si="11">K123</f>
        <v>0</v>
      </c>
      <c r="H123" s="186"/>
      <c r="I123" s="32"/>
      <c r="J123" s="33">
        <v>1100</v>
      </c>
      <c r="K123" s="189">
        <v>0</v>
      </c>
      <c r="L123" s="34">
        <f t="shared" si="7"/>
        <v>0</v>
      </c>
      <c r="N123" s="32"/>
    </row>
    <row r="124" spans="1:14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189">
        <f t="shared" si="11"/>
        <v>0</v>
      </c>
      <c r="H124" s="186"/>
      <c r="I124" s="32"/>
      <c r="J124" s="33">
        <v>1101</v>
      </c>
      <c r="K124" s="189">
        <v>0</v>
      </c>
      <c r="L124" s="34">
        <f t="shared" si="7"/>
        <v>0</v>
      </c>
      <c r="N124" s="32"/>
    </row>
    <row r="125" spans="1:14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189">
        <f t="shared" si="11"/>
        <v>0</v>
      </c>
      <c r="H125" s="186"/>
      <c r="I125" s="32"/>
      <c r="J125" s="33">
        <v>1102</v>
      </c>
      <c r="K125" s="189">
        <v>0</v>
      </c>
      <c r="L125" s="34">
        <f t="shared" si="7"/>
        <v>0</v>
      </c>
      <c r="N125" s="32"/>
    </row>
    <row r="126" spans="1:14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191">
        <f>IF((G120-G121-G123+G124-G125)&gt;0,G120-G121-G123+G124-G125,"0")</f>
        <v>239</v>
      </c>
      <c r="H126" s="188"/>
      <c r="I126" s="32"/>
      <c r="J126" s="33">
        <v>1103</v>
      </c>
      <c r="K126" s="191">
        <v>144</v>
      </c>
      <c r="L126" s="34">
        <f t="shared" si="7"/>
        <v>95</v>
      </c>
      <c r="N126" s="32"/>
    </row>
    <row r="127" spans="1:14">
      <c r="A127" s="29"/>
      <c r="B127" s="27"/>
      <c r="C127" s="27"/>
      <c r="D127" s="53" t="s">
        <v>272</v>
      </c>
      <c r="E127" s="29" t="s">
        <v>284</v>
      </c>
      <c r="F127" s="30"/>
      <c r="G127" s="41"/>
      <c r="H127" s="184"/>
      <c r="I127" s="32"/>
      <c r="J127" s="33">
        <v>1104</v>
      </c>
      <c r="K127" s="41">
        <v>0</v>
      </c>
      <c r="L127" s="34">
        <f t="shared" si="7"/>
        <v>0</v>
      </c>
      <c r="N127" s="32"/>
    </row>
    <row r="128" spans="1:14">
      <c r="A128" s="29"/>
      <c r="B128" s="27"/>
      <c r="C128" s="27"/>
      <c r="D128" s="53" t="s">
        <v>273</v>
      </c>
      <c r="E128" s="29" t="s">
        <v>285</v>
      </c>
      <c r="F128" s="30"/>
      <c r="G128" s="41"/>
      <c r="H128" s="184"/>
      <c r="I128" s="32"/>
      <c r="J128" s="33">
        <v>1105</v>
      </c>
      <c r="K128" s="41">
        <v>0</v>
      </c>
      <c r="L128" s="34">
        <f t="shared" si="7"/>
        <v>0</v>
      </c>
      <c r="N128" s="32"/>
    </row>
    <row r="129" spans="1:17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 t="str">
        <f>IF((G120-G121-G123+G124-G125)&lt;0,-(G120-G121-G123+G124-G125),"0")</f>
        <v>0</v>
      </c>
      <c r="H129" s="188"/>
      <c r="I129" s="32"/>
      <c r="J129" s="33">
        <v>1106</v>
      </c>
      <c r="K129" s="191">
        <v>0</v>
      </c>
      <c r="L129" s="34">
        <f t="shared" si="7"/>
        <v>0</v>
      </c>
      <c r="N129" s="32"/>
      <c r="O129" s="188">
        <f>30105</f>
        <v>30105</v>
      </c>
    </row>
    <row r="130" spans="1:17">
      <c r="A130" s="29"/>
      <c r="B130" s="27"/>
      <c r="C130" s="27"/>
      <c r="D130" s="39" t="s">
        <v>274</v>
      </c>
      <c r="E130" s="29" t="s">
        <v>287</v>
      </c>
      <c r="F130" s="30"/>
      <c r="G130" s="189">
        <v>0</v>
      </c>
      <c r="H130" s="186"/>
      <c r="I130" s="32"/>
      <c r="J130" s="33">
        <v>1107</v>
      </c>
      <c r="K130" s="189">
        <v>0</v>
      </c>
      <c r="L130" s="34">
        <f t="shared" si="7"/>
        <v>0</v>
      </c>
      <c r="N130" s="32"/>
    </row>
    <row r="131" spans="1:17">
      <c r="A131" s="29"/>
      <c r="B131" s="27"/>
      <c r="C131" s="27"/>
      <c r="D131" s="39" t="s">
        <v>275</v>
      </c>
      <c r="E131" s="29" t="s">
        <v>288</v>
      </c>
      <c r="F131" s="30"/>
      <c r="G131" s="189">
        <v>0</v>
      </c>
      <c r="H131" s="186"/>
      <c r="I131" s="32"/>
      <c r="J131" s="33">
        <v>1108</v>
      </c>
      <c r="K131" s="189">
        <v>0</v>
      </c>
      <c r="L131" s="34">
        <f t="shared" si="7"/>
        <v>0</v>
      </c>
      <c r="N131" s="32"/>
      <c r="O131" s="193">
        <v>239</v>
      </c>
      <c r="P131" s="259"/>
      <c r="Q131" s="260"/>
    </row>
    <row r="132" spans="1:17">
      <c r="A132" s="29"/>
      <c r="B132" s="27" t="s">
        <v>93</v>
      </c>
      <c r="C132" s="27"/>
      <c r="D132" s="28" t="s">
        <v>94</v>
      </c>
      <c r="E132" s="29"/>
      <c r="F132" s="30"/>
      <c r="G132" s="189">
        <v>0</v>
      </c>
      <c r="H132" s="186"/>
      <c r="I132" s="32"/>
      <c r="J132" s="33">
        <v>1109</v>
      </c>
      <c r="K132" s="189">
        <v>0</v>
      </c>
      <c r="L132" s="34">
        <f t="shared" si="7"/>
        <v>0</v>
      </c>
      <c r="N132" s="32"/>
    </row>
    <row r="133" spans="1:17">
      <c r="A133" s="29"/>
      <c r="B133" s="27"/>
      <c r="C133" s="27"/>
      <c r="D133" s="39" t="s">
        <v>276</v>
      </c>
      <c r="E133" s="29" t="s">
        <v>289</v>
      </c>
      <c r="F133" s="30"/>
      <c r="G133" s="189">
        <v>0</v>
      </c>
      <c r="H133" s="186"/>
      <c r="I133" s="32"/>
      <c r="J133" s="33">
        <v>1110</v>
      </c>
      <c r="K133" s="189">
        <v>0</v>
      </c>
      <c r="L133" s="34">
        <f t="shared" si="7"/>
        <v>0</v>
      </c>
      <c r="N133" s="32"/>
    </row>
    <row r="134" spans="1:17" ht="25.5">
      <c r="A134" s="29"/>
      <c r="B134" s="27"/>
      <c r="C134" s="27"/>
      <c r="D134" s="39" t="s">
        <v>277</v>
      </c>
      <c r="E134" s="29" t="s">
        <v>290</v>
      </c>
      <c r="F134" s="30"/>
      <c r="G134" s="189">
        <v>0</v>
      </c>
      <c r="H134" s="186"/>
      <c r="I134" s="32"/>
      <c r="J134" s="33">
        <v>1111</v>
      </c>
      <c r="K134" s="189">
        <v>0</v>
      </c>
      <c r="L134" s="34">
        <f t="shared" si="7"/>
        <v>0</v>
      </c>
      <c r="N134" s="32"/>
    </row>
    <row r="135" spans="1:17" ht="13.5" customHeight="1">
      <c r="H135" s="32"/>
      <c r="J135" s="33"/>
      <c r="K135" s="251"/>
      <c r="N135" s="32"/>
    </row>
    <row r="136" spans="1:17">
      <c r="N136" s="32"/>
    </row>
    <row r="137" spans="1:17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N137" s="32"/>
    </row>
    <row r="138" spans="1:17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N138" s="32"/>
    </row>
    <row r="139" spans="1:17">
      <c r="A139" s="1"/>
      <c r="B139" s="2"/>
      <c r="C139" s="58"/>
      <c r="D139" s="59"/>
      <c r="E139" s="60"/>
      <c r="F139" s="60"/>
      <c r="G139" s="61"/>
      <c r="H139" s="61"/>
      <c r="N139" s="32"/>
    </row>
    <row r="140" spans="1:17">
      <c r="A140" s="62"/>
      <c r="B140" s="63"/>
      <c r="C140" s="64"/>
      <c r="D140" s="64"/>
      <c r="E140" s="64"/>
      <c r="F140" s="64"/>
      <c r="G140" s="65"/>
      <c r="H140" s="65"/>
      <c r="N140" s="32"/>
    </row>
    <row r="141" spans="1:17">
      <c r="A141" s="1"/>
      <c r="B141" s="2"/>
      <c r="C141" s="58"/>
      <c r="D141" s="59"/>
      <c r="E141" s="60"/>
      <c r="F141" s="60"/>
      <c r="G141" s="66"/>
      <c r="H141" s="66"/>
      <c r="N141" s="32"/>
    </row>
    <row r="142" spans="1:17">
      <c r="A142" s="1"/>
      <c r="B142" s="2"/>
      <c r="C142" s="58"/>
      <c r="D142" s="59"/>
      <c r="E142" s="60"/>
      <c r="F142" s="60"/>
      <c r="G142" s="61"/>
      <c r="H142" s="61"/>
      <c r="N142" s="32"/>
    </row>
    <row r="143" spans="1:17">
      <c r="A143" s="1"/>
      <c r="B143" s="2"/>
      <c r="C143" s="58"/>
      <c r="D143" s="59"/>
      <c r="E143" s="60"/>
      <c r="F143" s="60"/>
      <c r="G143" s="61"/>
      <c r="H143" s="61"/>
      <c r="N143" s="32"/>
    </row>
    <row r="144" spans="1:17">
      <c r="A144" s="1"/>
      <c r="B144" s="2"/>
      <c r="C144" s="58"/>
      <c r="D144" s="59"/>
      <c r="E144" s="60"/>
      <c r="F144" s="60"/>
      <c r="G144" s="61"/>
      <c r="H144" s="61"/>
      <c r="N144" s="32"/>
    </row>
    <row r="145" spans="1:14">
      <c r="A145" s="1"/>
      <c r="B145" s="2"/>
      <c r="C145" s="58"/>
      <c r="D145" s="59"/>
      <c r="E145" s="60"/>
      <c r="F145" s="60"/>
      <c r="G145" s="61"/>
      <c r="H145" s="61"/>
      <c r="N145" s="32"/>
    </row>
    <row r="146" spans="1:14">
      <c r="A146" s="1"/>
      <c r="B146" s="2"/>
      <c r="C146" s="58"/>
      <c r="D146" s="59"/>
      <c r="E146" s="60"/>
      <c r="F146" s="60"/>
      <c r="G146" s="61"/>
      <c r="H146" s="61"/>
      <c r="N146" s="32"/>
    </row>
    <row r="147" spans="1:14">
      <c r="A147" s="1"/>
      <c r="B147" s="2"/>
      <c r="C147" s="58"/>
      <c r="D147" s="59"/>
      <c r="E147" s="60"/>
      <c r="F147" s="60"/>
      <c r="G147" s="61"/>
      <c r="H147" s="61"/>
      <c r="N147" s="32"/>
    </row>
    <row r="148" spans="1:14">
      <c r="A148" s="1"/>
      <c r="B148" s="2"/>
      <c r="C148" s="58"/>
      <c r="D148" s="59"/>
      <c r="E148" s="60"/>
      <c r="F148" s="60"/>
      <c r="G148" s="67"/>
      <c r="H148" s="61"/>
      <c r="N148" s="32"/>
    </row>
    <row r="149" spans="1:14">
      <c r="A149" s="1"/>
      <c r="B149" s="2"/>
      <c r="C149" s="58"/>
      <c r="D149" s="59"/>
      <c r="E149" s="60"/>
      <c r="F149" s="60"/>
      <c r="G149" s="61"/>
      <c r="H149" s="61"/>
      <c r="N149" s="32"/>
    </row>
    <row r="150" spans="1:14">
      <c r="A150" s="1"/>
      <c r="B150" s="2"/>
      <c r="C150" s="58"/>
      <c r="D150" s="59"/>
      <c r="E150" s="60"/>
      <c r="F150" s="60"/>
      <c r="G150" s="61"/>
      <c r="H150" s="61"/>
      <c r="N150" s="32"/>
    </row>
    <row r="151" spans="1:14">
      <c r="A151" s="1"/>
      <c r="B151" s="2"/>
      <c r="C151" s="58"/>
      <c r="D151" s="59"/>
      <c r="E151" s="60"/>
      <c r="F151" s="60"/>
      <c r="G151" s="61"/>
      <c r="H151" s="61"/>
      <c r="N151" s="32"/>
    </row>
    <row r="152" spans="1:14">
      <c r="A152" s="1"/>
      <c r="B152" s="2"/>
      <c r="C152" s="58"/>
      <c r="D152" s="59"/>
      <c r="E152" s="60"/>
      <c r="F152" s="60"/>
      <c r="G152" s="61"/>
      <c r="H152" s="61"/>
      <c r="N152" s="32"/>
    </row>
    <row r="153" spans="1:14">
      <c r="A153" s="1"/>
      <c r="B153" s="2"/>
      <c r="C153" s="58"/>
      <c r="D153" s="59"/>
      <c r="E153" s="60"/>
      <c r="F153" s="60"/>
      <c r="G153" s="61"/>
      <c r="H153" s="61"/>
      <c r="N153" s="32"/>
    </row>
    <row r="154" spans="1:14">
      <c r="A154" s="1"/>
      <c r="B154" s="2"/>
      <c r="C154" s="58"/>
      <c r="D154" s="59"/>
      <c r="E154" s="60"/>
      <c r="F154" s="60"/>
      <c r="G154" s="61"/>
      <c r="H154" s="61"/>
      <c r="N154" s="32"/>
    </row>
    <row r="155" spans="1:14">
      <c r="A155" s="1"/>
      <c r="B155" s="2"/>
      <c r="C155" s="58"/>
      <c r="D155" s="59"/>
      <c r="E155" s="60"/>
      <c r="F155" s="60"/>
      <c r="G155" s="61"/>
      <c r="H155" s="61"/>
      <c r="N155" s="32"/>
    </row>
    <row r="156" spans="1:14">
      <c r="A156" s="1"/>
      <c r="B156" s="2"/>
      <c r="C156" s="58"/>
      <c r="D156" s="59"/>
      <c r="E156" s="60"/>
      <c r="F156" s="60"/>
      <c r="G156" s="61"/>
      <c r="H156" s="61"/>
      <c r="N156" s="32"/>
    </row>
    <row r="157" spans="1:14">
      <c r="A157" s="1"/>
      <c r="B157" s="2"/>
      <c r="C157" s="58"/>
      <c r="D157" s="59"/>
      <c r="E157" s="60"/>
      <c r="F157" s="60"/>
      <c r="G157" s="61"/>
      <c r="H157" s="61"/>
      <c r="N157" s="32"/>
    </row>
    <row r="158" spans="1:14">
      <c r="A158" s="1"/>
      <c r="B158" s="2"/>
      <c r="C158" s="58"/>
      <c r="D158" s="59"/>
      <c r="E158" s="60"/>
      <c r="F158" s="60"/>
      <c r="G158" s="61"/>
      <c r="H158" s="61"/>
      <c r="N158" s="32"/>
    </row>
    <row r="159" spans="1:14">
      <c r="A159" s="1"/>
      <c r="B159" s="2"/>
      <c r="C159" s="58"/>
      <c r="D159" s="59"/>
      <c r="E159" s="60"/>
      <c r="F159" s="60"/>
      <c r="G159" s="61"/>
      <c r="H159" s="61"/>
      <c r="N159" s="32"/>
    </row>
    <row r="160" spans="1:14">
      <c r="A160" s="1"/>
      <c r="B160" s="2"/>
      <c r="C160" s="58"/>
      <c r="D160" s="59"/>
      <c r="E160" s="60"/>
      <c r="F160" s="60"/>
      <c r="G160" s="61"/>
      <c r="H160" s="61"/>
      <c r="N160" s="32"/>
    </row>
    <row r="161" spans="1:14">
      <c r="A161" s="1"/>
      <c r="B161" s="2"/>
      <c r="C161" s="58"/>
      <c r="D161" s="59"/>
      <c r="E161" s="60"/>
      <c r="F161" s="60"/>
      <c r="G161" s="61"/>
      <c r="H161" s="61"/>
      <c r="N161" s="32"/>
    </row>
    <row r="162" spans="1:14">
      <c r="A162" s="1"/>
      <c r="B162" s="2"/>
      <c r="C162" s="58"/>
      <c r="D162" s="59"/>
      <c r="E162" s="60"/>
      <c r="F162" s="60"/>
      <c r="G162" s="61"/>
      <c r="H162" s="61"/>
      <c r="N162" s="32"/>
    </row>
    <row r="163" spans="1:14">
      <c r="A163" s="1"/>
      <c r="B163" s="2"/>
      <c r="C163" s="58"/>
      <c r="D163" s="59"/>
      <c r="E163" s="60"/>
      <c r="F163" s="60"/>
      <c r="G163" s="61"/>
      <c r="H163" s="61"/>
      <c r="N163" s="32"/>
    </row>
    <row r="164" spans="1:14">
      <c r="A164" s="1"/>
      <c r="B164" s="2"/>
      <c r="C164" s="58"/>
      <c r="D164" s="59"/>
      <c r="E164" s="60"/>
      <c r="F164" s="60"/>
      <c r="G164" s="61"/>
      <c r="H164" s="61"/>
      <c r="N164" s="32"/>
    </row>
    <row r="165" spans="1:14">
      <c r="A165" s="1"/>
      <c r="B165" s="2"/>
      <c r="C165" s="58"/>
      <c r="D165" s="59"/>
      <c r="E165" s="60"/>
      <c r="F165" s="60"/>
      <c r="G165" s="61"/>
      <c r="H165" s="61"/>
      <c r="N165" s="32"/>
    </row>
    <row r="166" spans="1:14">
      <c r="A166" s="1"/>
      <c r="B166" s="2"/>
      <c r="C166" s="3"/>
      <c r="D166" s="68"/>
      <c r="E166" s="4"/>
      <c r="F166" s="4"/>
      <c r="N166" s="32"/>
    </row>
    <row r="167" spans="1:14">
      <c r="A167" s="1"/>
      <c r="B167" s="2"/>
      <c r="C167" s="3"/>
      <c r="D167" s="68"/>
      <c r="E167" s="4"/>
      <c r="F167" s="4"/>
      <c r="N167" s="32"/>
    </row>
    <row r="168" spans="1:14">
      <c r="A168" s="1"/>
      <c r="B168" s="2"/>
      <c r="C168" s="3"/>
      <c r="D168" s="68"/>
      <c r="E168" s="4"/>
      <c r="F168" s="4"/>
      <c r="N168" s="32"/>
    </row>
    <row r="169" spans="1:14">
      <c r="A169" s="1"/>
      <c r="B169" s="2"/>
      <c r="C169" s="3"/>
      <c r="D169" s="68"/>
      <c r="E169" s="4"/>
      <c r="F169" s="4"/>
      <c r="N169" s="32"/>
    </row>
    <row r="170" spans="1:14">
      <c r="A170" s="1"/>
      <c r="B170" s="2"/>
      <c r="C170" s="3"/>
      <c r="D170" s="68"/>
      <c r="E170" s="4"/>
      <c r="F170" s="4"/>
      <c r="N170" s="32"/>
    </row>
    <row r="171" spans="1:14">
      <c r="A171" s="1"/>
      <c r="B171" s="2"/>
      <c r="C171" s="3"/>
      <c r="D171" s="68"/>
      <c r="E171" s="4"/>
      <c r="F171" s="4"/>
      <c r="N171" s="32"/>
    </row>
    <row r="172" spans="1:14">
      <c r="A172" s="1"/>
      <c r="B172" s="2"/>
      <c r="C172" s="3"/>
      <c r="D172" s="68"/>
      <c r="E172" s="4"/>
      <c r="F172" s="4"/>
      <c r="N172" s="32"/>
    </row>
    <row r="173" spans="1:14">
      <c r="A173" s="1"/>
      <c r="B173" s="2"/>
      <c r="C173" s="3"/>
      <c r="D173" s="68"/>
      <c r="E173" s="4"/>
      <c r="F173" s="4"/>
      <c r="N173" s="32"/>
    </row>
    <row r="174" spans="1:14">
      <c r="A174" s="1"/>
      <c r="B174" s="2"/>
      <c r="C174" s="3"/>
      <c r="D174" s="68"/>
      <c r="E174" s="4"/>
      <c r="F174" s="4"/>
      <c r="N174" s="32"/>
    </row>
    <row r="175" spans="1:14">
      <c r="A175" s="1"/>
      <c r="B175" s="2"/>
      <c r="C175" s="3"/>
      <c r="D175" s="68"/>
      <c r="E175" s="4"/>
      <c r="F175" s="4"/>
      <c r="N175" s="32"/>
    </row>
    <row r="176" spans="1:14">
      <c r="A176" s="1"/>
      <c r="B176" s="2"/>
      <c r="C176" s="3"/>
      <c r="D176" s="68"/>
      <c r="E176" s="4"/>
      <c r="F176" s="4"/>
      <c r="N176" s="32"/>
    </row>
    <row r="177" spans="1:14">
      <c r="A177" s="1"/>
      <c r="B177" s="2"/>
      <c r="C177" s="3"/>
      <c r="D177" s="68"/>
      <c r="E177" s="4"/>
      <c r="F177" s="4"/>
      <c r="N177" s="32"/>
    </row>
    <row r="178" spans="1:14">
      <c r="A178" s="1"/>
      <c r="B178" s="2"/>
      <c r="C178" s="3"/>
      <c r="D178" s="68"/>
      <c r="E178" s="4"/>
      <c r="F178" s="4"/>
      <c r="N178" s="32"/>
    </row>
    <row r="179" spans="1:14">
      <c r="A179" s="1"/>
      <c r="B179" s="2"/>
      <c r="C179" s="3"/>
      <c r="D179" s="68"/>
      <c r="E179" s="4"/>
      <c r="F179" s="4"/>
      <c r="N179" s="32"/>
    </row>
    <row r="180" spans="1:14">
      <c r="A180" s="1"/>
      <c r="B180" s="2"/>
      <c r="C180" s="3"/>
      <c r="D180" s="68"/>
      <c r="E180" s="4"/>
      <c r="F180" s="4"/>
      <c r="N180" s="32"/>
    </row>
    <row r="181" spans="1:14">
      <c r="A181" s="1"/>
      <c r="B181" s="2"/>
      <c r="C181" s="3"/>
      <c r="D181" s="68"/>
      <c r="E181" s="4"/>
      <c r="F181" s="4"/>
      <c r="N181" s="32"/>
    </row>
    <row r="182" spans="1:14">
      <c r="A182" s="1"/>
      <c r="B182" s="2"/>
      <c r="C182" s="3"/>
      <c r="D182" s="68"/>
      <c r="E182" s="4"/>
      <c r="F182" s="4"/>
      <c r="N182" s="32"/>
    </row>
    <row r="183" spans="1:14">
      <c r="A183" s="1"/>
      <c r="B183" s="2"/>
      <c r="C183" s="3"/>
      <c r="D183" s="68"/>
      <c r="E183" s="4"/>
      <c r="F183" s="4"/>
      <c r="N183" s="32"/>
    </row>
    <row r="184" spans="1:14">
      <c r="A184" s="1"/>
      <c r="B184" s="2"/>
      <c r="C184" s="3"/>
      <c r="D184" s="68"/>
      <c r="E184" s="4"/>
      <c r="F184" s="4"/>
      <c r="N184" s="32"/>
    </row>
    <row r="185" spans="1:14">
      <c r="A185" s="1"/>
      <c r="B185" s="2"/>
      <c r="C185" s="3"/>
      <c r="D185" s="68"/>
      <c r="E185" s="4"/>
      <c r="F185" s="4"/>
      <c r="N185" s="32"/>
    </row>
    <row r="186" spans="1:14">
      <c r="A186" s="1"/>
      <c r="B186" s="2"/>
      <c r="C186" s="3"/>
      <c r="D186" s="68"/>
      <c r="E186" s="4"/>
      <c r="F186" s="4"/>
      <c r="N186" s="32"/>
    </row>
    <row r="187" spans="1:14">
      <c r="A187" s="1"/>
      <c r="B187" s="2"/>
      <c r="C187" s="3"/>
      <c r="D187" s="68"/>
      <c r="E187" s="4"/>
      <c r="F187" s="4"/>
      <c r="N187" s="32"/>
    </row>
    <row r="188" spans="1:14">
      <c r="A188" s="1"/>
      <c r="B188" s="2"/>
      <c r="C188" s="3"/>
      <c r="D188" s="68"/>
      <c r="E188" s="4"/>
      <c r="F188" s="4"/>
    </row>
    <row r="189" spans="1:14">
      <c r="A189" s="1"/>
      <c r="B189" s="2"/>
      <c r="C189" s="3"/>
      <c r="D189" s="68"/>
      <c r="E189" s="4"/>
      <c r="F189" s="4"/>
    </row>
    <row r="190" spans="1:14">
      <c r="A190" s="1"/>
      <c r="B190" s="2"/>
      <c r="C190" s="3"/>
      <c r="D190" s="68"/>
      <c r="E190" s="4"/>
      <c r="F190" s="4"/>
    </row>
    <row r="191" spans="1:14">
      <c r="A191" s="1"/>
      <c r="B191" s="2"/>
      <c r="C191" s="3"/>
      <c r="D191" s="68"/>
      <c r="E191" s="4"/>
      <c r="F191" s="4"/>
    </row>
    <row r="192" spans="1:14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  <mergeCell ref="G17:H17"/>
    <mergeCell ref="B20:D20"/>
    <mergeCell ref="A137:C137"/>
    <mergeCell ref="D137:F137"/>
    <mergeCell ref="G137:H137"/>
    <mergeCell ref="A138:C138"/>
    <mergeCell ref="D138:F138"/>
    <mergeCell ref="G138:H138"/>
  </mergeCells>
  <pageMargins left="0.19685039370078741" right="0.19685039370078741" top="0.59055118110236227" bottom="0.19685039370078741" header="0.51181102362204722" footer="0.15748031496062992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7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171450</xdr:rowOff>
              </to>
            </anchor>
          </objectPr>
        </oleObject>
      </mc:Choice>
      <mc:Fallback>
        <oleObject progId="Word.Document.8" shapeId="19457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27"/>
  <sheetViews>
    <sheetView topLeftCell="B1" workbookViewId="0">
      <selection activeCell="N135" sqref="N135"/>
    </sheetView>
  </sheetViews>
  <sheetFormatPr defaultRowHeight="15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259" customWidth="1"/>
    <col min="8" max="8" width="11.85546875" style="5" customWidth="1"/>
    <col min="9" max="9" width="11.85546875" style="226" customWidth="1"/>
    <col min="10" max="10" width="9.140625" style="5"/>
    <col min="11" max="11" width="13.140625" style="5" hidden="1" customWidth="1"/>
    <col min="12" max="12" width="9.140625" style="5" hidden="1" customWidth="1"/>
    <col min="13" max="13" width="9.28515625" style="6" hidden="1" customWidth="1"/>
    <col min="14" max="14" width="9.140625" style="5"/>
    <col min="15" max="15" width="10.5703125" style="5" customWidth="1"/>
    <col min="16" max="16" width="11.7109375" style="280" customWidth="1"/>
    <col min="17" max="19" width="9.140625" style="280"/>
    <col min="20" max="16384" width="9.140625" style="5"/>
  </cols>
  <sheetData>
    <row r="1" spans="1:19" ht="16.5" customHeight="1">
      <c r="A1" s="1"/>
      <c r="B1" s="2"/>
      <c r="C1" s="3"/>
      <c r="D1" s="4"/>
      <c r="E1" s="4"/>
      <c r="F1" s="4"/>
    </row>
    <row r="2" spans="1:19">
      <c r="A2" s="319"/>
      <c r="B2" s="319"/>
      <c r="C2" s="319"/>
      <c r="D2" s="319"/>
      <c r="E2" s="4"/>
      <c r="F2" s="4"/>
    </row>
    <row r="3" spans="1:19" ht="13.5" customHeight="1">
      <c r="A3" s="319"/>
      <c r="B3" s="319"/>
      <c r="C3" s="319"/>
      <c r="D3" s="319"/>
      <c r="E3" s="4"/>
      <c r="F3" s="4"/>
    </row>
    <row r="4" spans="1:19" ht="15" customHeight="1">
      <c r="A4" s="319"/>
      <c r="B4" s="319"/>
      <c r="C4" s="319"/>
      <c r="D4" s="319"/>
      <c r="E4" s="4"/>
      <c r="F4" s="4"/>
    </row>
    <row r="5" spans="1:19" ht="16.5" customHeight="1">
      <c r="A5" s="319"/>
      <c r="B5" s="319"/>
      <c r="C5" s="319"/>
      <c r="D5" s="319"/>
      <c r="E5" s="4"/>
      <c r="F5" s="4"/>
    </row>
    <row r="6" spans="1:19">
      <c r="A6" s="319"/>
      <c r="B6" s="319"/>
      <c r="C6" s="319"/>
      <c r="D6" s="319"/>
      <c r="E6" s="4"/>
      <c r="F6" s="4"/>
    </row>
    <row r="7" spans="1:19" ht="13.5" customHeight="1">
      <c r="A7" s="1"/>
      <c r="B7" s="2"/>
      <c r="C7" s="3"/>
      <c r="D7" s="4"/>
      <c r="E7" s="4"/>
      <c r="F7" s="4"/>
    </row>
    <row r="8" spans="1:19" ht="13.5" customHeight="1">
      <c r="A8" s="1"/>
      <c r="B8" s="2"/>
      <c r="C8" s="3"/>
      <c r="D8" s="4"/>
      <c r="E8" s="4"/>
      <c r="F8" s="4"/>
    </row>
    <row r="9" spans="1:19" ht="13.5" customHeight="1">
      <c r="A9" s="1"/>
      <c r="B9" s="2"/>
      <c r="C9" s="3"/>
      <c r="D9" s="4"/>
      <c r="E9" s="4"/>
      <c r="F9" s="4"/>
    </row>
    <row r="10" spans="1:19">
      <c r="A10" s="1"/>
      <c r="B10" s="2"/>
      <c r="C10" s="3"/>
      <c r="D10" s="4"/>
      <c r="E10" s="4"/>
      <c r="F10" s="4"/>
    </row>
    <row r="11" spans="1:19" s="7" customFormat="1" ht="13.5" customHeight="1">
      <c r="A11" s="318"/>
      <c r="B11" s="318"/>
      <c r="C11" s="318"/>
      <c r="D11" s="318"/>
      <c r="E11" s="318"/>
      <c r="F11" s="318"/>
      <c r="G11" s="318"/>
      <c r="I11" s="227"/>
      <c r="M11" s="8"/>
      <c r="P11" s="281"/>
      <c r="Q11" s="281"/>
      <c r="R11" s="281"/>
      <c r="S11" s="281"/>
    </row>
    <row r="12" spans="1:19" s="7" customFormat="1" ht="13.5" customHeight="1">
      <c r="A12" s="318"/>
      <c r="B12" s="318"/>
      <c r="C12" s="318"/>
      <c r="D12" s="318"/>
      <c r="E12" s="4"/>
      <c r="F12" s="4"/>
      <c r="G12" s="272"/>
      <c r="I12" s="227"/>
      <c r="M12" s="8"/>
      <c r="P12" s="281"/>
      <c r="Q12" s="281"/>
      <c r="R12" s="281"/>
      <c r="S12" s="281"/>
    </row>
    <row r="13" spans="1:19" s="7" customFormat="1" ht="24" customHeight="1">
      <c r="A13" s="1"/>
      <c r="B13" s="2"/>
      <c r="C13" s="3"/>
      <c r="D13" s="4"/>
      <c r="E13" s="4"/>
      <c r="F13" s="4"/>
      <c r="G13" s="272"/>
      <c r="H13" s="9"/>
      <c r="I13" s="228"/>
      <c r="M13" s="8"/>
      <c r="P13" s="281"/>
      <c r="Q13" s="281"/>
      <c r="R13" s="281"/>
      <c r="S13" s="281"/>
    </row>
    <row r="14" spans="1:19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I14" s="261"/>
      <c r="M14" s="8"/>
      <c r="P14" s="281"/>
      <c r="Q14" s="281"/>
      <c r="R14" s="281"/>
      <c r="S14" s="281"/>
    </row>
    <row r="15" spans="1:19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I15" s="262"/>
      <c r="M15" s="8"/>
      <c r="P15" s="281"/>
      <c r="Q15" s="281"/>
      <c r="R15" s="281"/>
      <c r="S15" s="281"/>
    </row>
    <row r="16" spans="1:19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I16" s="263"/>
      <c r="M16" s="8"/>
      <c r="P16" s="281"/>
      <c r="Q16" s="281"/>
      <c r="R16" s="281"/>
      <c r="S16" s="281"/>
    </row>
    <row r="17" spans="1:19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I17" s="264"/>
      <c r="M17" s="8"/>
      <c r="P17" s="281"/>
      <c r="Q17" s="281"/>
      <c r="R17" s="281"/>
      <c r="S17" s="281"/>
    </row>
    <row r="18" spans="1:19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I18" s="265"/>
      <c r="M18" s="8"/>
      <c r="P18" s="281"/>
      <c r="Q18" s="281"/>
      <c r="R18" s="281"/>
      <c r="S18" s="281"/>
    </row>
    <row r="19" spans="1:19" s="7" customFormat="1" ht="37.5" customHeight="1">
      <c r="A19" s="336"/>
      <c r="B19" s="336"/>
      <c r="C19" s="336"/>
      <c r="D19" s="336"/>
      <c r="E19" s="337"/>
      <c r="F19" s="338"/>
      <c r="G19" s="273" t="s">
        <v>4</v>
      </c>
      <c r="H19" s="11" t="s">
        <v>5</v>
      </c>
      <c r="I19" s="266"/>
      <c r="M19" s="8"/>
      <c r="P19" s="281"/>
      <c r="Q19" s="281"/>
      <c r="R19" s="281"/>
      <c r="S19" s="281"/>
    </row>
    <row r="20" spans="1:19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274">
        <v>5</v>
      </c>
      <c r="H20" s="16">
        <v>6</v>
      </c>
      <c r="I20" s="267"/>
      <c r="M20" s="8"/>
      <c r="P20" s="281"/>
      <c r="Q20" s="281"/>
      <c r="R20" s="281"/>
      <c r="S20" s="281"/>
    </row>
    <row r="21" spans="1:19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75"/>
      <c r="H21" s="23"/>
      <c r="I21" s="268"/>
      <c r="M21" s="25"/>
      <c r="P21" s="192"/>
      <c r="Q21" s="192"/>
      <c r="R21" s="192"/>
      <c r="S21" s="192"/>
    </row>
    <row r="22" spans="1:19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41">
        <f>G23+G30+G35+G36</f>
        <v>370257</v>
      </c>
      <c r="H22" s="184">
        <f>H23+H30+H35+H36</f>
        <v>331706</v>
      </c>
      <c r="I22" s="269">
        <f>'zajedno (segmentno)'!BI3</f>
        <v>0</v>
      </c>
      <c r="J22" s="32"/>
      <c r="K22" s="33">
        <v>1001</v>
      </c>
      <c r="L22" s="41">
        <v>370257</v>
      </c>
      <c r="M22" s="34">
        <f t="shared" ref="M22:M85" si="0">G22-L22</f>
        <v>0</v>
      </c>
      <c r="O22" s="32"/>
    </row>
    <row r="23" spans="1:19" ht="25.5" customHeight="1">
      <c r="A23" s="29"/>
      <c r="B23" s="35"/>
      <c r="C23" s="35"/>
      <c r="D23" s="28" t="s">
        <v>292</v>
      </c>
      <c r="E23" s="29" t="s">
        <v>107</v>
      </c>
      <c r="F23" s="36"/>
      <c r="G23" s="83">
        <f>G24+G25-G26-G27-G28+G29</f>
        <v>369999</v>
      </c>
      <c r="H23" s="185">
        <f>H24+H25-H26-H27-H28+H29</f>
        <v>331441</v>
      </c>
      <c r="I23" s="269">
        <f>'zajedno (segmentno)'!BI4</f>
        <v>0</v>
      </c>
      <c r="J23" s="32"/>
      <c r="K23" s="33">
        <v>1002</v>
      </c>
      <c r="L23" s="83">
        <v>370000</v>
      </c>
      <c r="M23" s="34">
        <f t="shared" si="0"/>
        <v>-1</v>
      </c>
      <c r="O23" s="32"/>
      <c r="P23" s="282"/>
    </row>
    <row r="24" spans="1:19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189">
        <f>L24</f>
        <v>0</v>
      </c>
      <c r="H24" s="186">
        <v>0</v>
      </c>
      <c r="I24" s="269">
        <f>'zajedno (segmentno)'!BI5</f>
        <v>0</v>
      </c>
      <c r="J24" s="32"/>
      <c r="K24" s="33">
        <v>1003</v>
      </c>
      <c r="L24" s="189">
        <v>0</v>
      </c>
      <c r="M24" s="34">
        <f t="shared" si="0"/>
        <v>0</v>
      </c>
      <c r="O24" s="32"/>
    </row>
    <row r="25" spans="1:19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189">
        <f>L25+1</f>
        <v>395604</v>
      </c>
      <c r="H25" s="186">
        <v>330283</v>
      </c>
      <c r="I25" s="269">
        <f>'zajedno (segmentno)'!BI6</f>
        <v>0</v>
      </c>
      <c r="J25" s="32"/>
      <c r="K25" s="33">
        <v>1004</v>
      </c>
      <c r="L25" s="189">
        <v>395603</v>
      </c>
      <c r="M25" s="34">
        <f t="shared" si="0"/>
        <v>1</v>
      </c>
      <c r="O25" s="32"/>
    </row>
    <row r="26" spans="1:19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189">
        <f>L26</f>
        <v>10238</v>
      </c>
      <c r="H26" s="186">
        <v>0</v>
      </c>
      <c r="I26" s="269">
        <f>'zajedno (segmentno)'!BI7</f>
        <v>0</v>
      </c>
      <c r="J26" s="32"/>
      <c r="K26" s="33">
        <v>1005</v>
      </c>
      <c r="L26" s="189">
        <v>10238</v>
      </c>
      <c r="M26" s="34">
        <f t="shared" si="0"/>
        <v>0</v>
      </c>
      <c r="O26" s="32"/>
      <c r="P26" s="282"/>
    </row>
    <row r="27" spans="1:19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189">
        <f>L27</f>
        <v>4470</v>
      </c>
      <c r="H27" s="186">
        <v>0</v>
      </c>
      <c r="I27" s="269">
        <f>'zajedno (segmentno)'!BI8</f>
        <v>0</v>
      </c>
      <c r="J27" s="32"/>
      <c r="K27" s="33">
        <v>1006</v>
      </c>
      <c r="L27" s="189">
        <v>4470</v>
      </c>
      <c r="M27" s="34">
        <f t="shared" si="0"/>
        <v>0</v>
      </c>
      <c r="O27" s="32"/>
    </row>
    <row r="28" spans="1:19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189">
        <f>L28+1</f>
        <v>10897</v>
      </c>
      <c r="H28" s="186">
        <v>0</v>
      </c>
      <c r="I28" s="269">
        <f>'zajedno (segmentno)'!BI9</f>
        <v>-49946</v>
      </c>
      <c r="J28" s="32"/>
      <c r="K28" s="33">
        <v>1007</v>
      </c>
      <c r="L28" s="189">
        <v>10896</v>
      </c>
      <c r="M28" s="34">
        <f t="shared" si="0"/>
        <v>1</v>
      </c>
      <c r="O28" s="32"/>
    </row>
    <row r="29" spans="1:19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189">
        <f>L29</f>
        <v>0</v>
      </c>
      <c r="H29" s="186">
        <v>1158</v>
      </c>
      <c r="I29" s="269">
        <f>'zajedno (segmentno)'!BI10</f>
        <v>-49946</v>
      </c>
      <c r="J29" s="32"/>
      <c r="K29" s="33">
        <v>1008</v>
      </c>
      <c r="L29" s="189">
        <v>0</v>
      </c>
      <c r="M29" s="34">
        <f t="shared" si="0"/>
        <v>0</v>
      </c>
      <c r="O29" s="32"/>
    </row>
    <row r="30" spans="1:19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f>G31-G32-G33+G34</f>
        <v>0</v>
      </c>
      <c r="H30" s="185">
        <f>H31-H32-H33+H34</f>
        <v>0</v>
      </c>
      <c r="I30" s="269">
        <f>'zajedno (segmentno)'!BI11</f>
        <v>0</v>
      </c>
      <c r="J30" s="32"/>
      <c r="K30" s="33">
        <v>1009</v>
      </c>
      <c r="L30" s="83">
        <v>0</v>
      </c>
      <c r="M30" s="34">
        <f t="shared" si="0"/>
        <v>0</v>
      </c>
      <c r="O30" s="32"/>
    </row>
    <row r="31" spans="1:19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189">
        <f>L31</f>
        <v>0</v>
      </c>
      <c r="H31" s="186">
        <v>0</v>
      </c>
      <c r="I31" s="269">
        <f>'zajedno (segmentno)'!BI12</f>
        <v>0</v>
      </c>
      <c r="J31" s="32"/>
      <c r="K31" s="33">
        <v>1010</v>
      </c>
      <c r="L31" s="189">
        <v>0</v>
      </c>
      <c r="M31" s="34">
        <f t="shared" si="0"/>
        <v>0</v>
      </c>
      <c r="O31" s="32"/>
    </row>
    <row r="32" spans="1:19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189">
        <f>L32</f>
        <v>0</v>
      </c>
      <c r="H32" s="186">
        <v>0</v>
      </c>
      <c r="I32" s="269">
        <f>'zajedno (segmentno)'!BI13</f>
        <v>0</v>
      </c>
      <c r="J32" s="32"/>
      <c r="K32" s="33">
        <v>1011</v>
      </c>
      <c r="L32" s="189">
        <v>0</v>
      </c>
      <c r="M32" s="34">
        <f t="shared" si="0"/>
        <v>0</v>
      </c>
      <c r="O32" s="32"/>
    </row>
    <row r="33" spans="1:15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189">
        <f>L33</f>
        <v>0</v>
      </c>
      <c r="H33" s="186">
        <v>0</v>
      </c>
      <c r="I33" s="269">
        <f>'zajedno (segmentno)'!BI14</f>
        <v>0</v>
      </c>
      <c r="J33" s="32"/>
      <c r="K33" s="33">
        <v>1012</v>
      </c>
      <c r="L33" s="189">
        <v>0</v>
      </c>
      <c r="M33" s="34">
        <f t="shared" si="0"/>
        <v>0</v>
      </c>
      <c r="O33" s="32"/>
    </row>
    <row r="34" spans="1:15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189">
        <f>L34</f>
        <v>0</v>
      </c>
      <c r="H34" s="186">
        <v>0</v>
      </c>
      <c r="I34" s="269">
        <f>'zajedno (segmentno)'!BI15</f>
        <v>0</v>
      </c>
      <c r="J34" s="32"/>
      <c r="K34" s="33">
        <v>1013</v>
      </c>
      <c r="L34" s="189">
        <v>0</v>
      </c>
      <c r="M34" s="34">
        <f t="shared" si="0"/>
        <v>0</v>
      </c>
      <c r="O34" s="32"/>
    </row>
    <row r="35" spans="1:15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3">
        <f>L35+1</f>
        <v>137</v>
      </c>
      <c r="H35" s="185">
        <v>130</v>
      </c>
      <c r="I35" s="269">
        <f>'zajedno (segmentno)'!BI16</f>
        <v>0</v>
      </c>
      <c r="J35" s="32"/>
      <c r="K35" s="33">
        <v>1014</v>
      </c>
      <c r="L35" s="83">
        <v>136</v>
      </c>
      <c r="M35" s="34">
        <f t="shared" si="0"/>
        <v>1</v>
      </c>
      <c r="O35" s="32"/>
    </row>
    <row r="36" spans="1:15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3">
        <f>L36</f>
        <v>121</v>
      </c>
      <c r="H36" s="185">
        <v>135</v>
      </c>
      <c r="I36" s="269">
        <f>'zajedno (segmentno)'!BI17</f>
        <v>0</v>
      </c>
      <c r="J36" s="32"/>
      <c r="K36" s="33">
        <v>1015</v>
      </c>
      <c r="L36" s="83">
        <v>121</v>
      </c>
      <c r="M36" s="34">
        <f t="shared" si="0"/>
        <v>0</v>
      </c>
      <c r="O36" s="32"/>
    </row>
    <row r="37" spans="1:15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41">
        <f>G38+G47+G55-G56-G65+G66-G67+G68+G69</f>
        <v>139931</v>
      </c>
      <c r="H37" s="184">
        <f>H38+H47+H55-H56-H65+H66-H67+H68+H69</f>
        <v>119761</v>
      </c>
      <c r="I37" s="269">
        <f>'zajedno (segmentno)'!BI18</f>
        <v>0</v>
      </c>
      <c r="J37" s="32"/>
      <c r="K37" s="33">
        <v>1016</v>
      </c>
      <c r="L37" s="41">
        <v>139933</v>
      </c>
      <c r="M37" s="34">
        <f t="shared" si="0"/>
        <v>-2</v>
      </c>
      <c r="O37" s="32"/>
    </row>
    <row r="38" spans="1:15" ht="32.25" customHeight="1">
      <c r="A38" s="29"/>
      <c r="B38" s="35"/>
      <c r="C38" s="35"/>
      <c r="D38" s="28" t="s">
        <v>295</v>
      </c>
      <c r="E38" s="29" t="s">
        <v>128</v>
      </c>
      <c r="F38" s="36"/>
      <c r="G38" s="83">
        <f>G39+G40+G41+G42+G43+G44+G45+G46</f>
        <v>1128</v>
      </c>
      <c r="H38" s="185">
        <f>H39+H40+H41+H42+H43+H44+H45+H46</f>
        <v>15490</v>
      </c>
      <c r="I38" s="269">
        <f>'zajedno (segmentno)'!BI19</f>
        <v>0</v>
      </c>
      <c r="J38" s="32"/>
      <c r="K38" s="33">
        <v>1017</v>
      </c>
      <c r="L38" s="83">
        <v>1128</v>
      </c>
      <c r="M38" s="34">
        <f t="shared" si="0"/>
        <v>0</v>
      </c>
      <c r="O38" s="32"/>
    </row>
    <row r="39" spans="1:15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189">
        <f>L39</f>
        <v>0</v>
      </c>
      <c r="H39" s="186">
        <v>0</v>
      </c>
      <c r="I39" s="269">
        <f>'zajedno (segmentno)'!BI20</f>
        <v>0</v>
      </c>
      <c r="J39" s="32"/>
      <c r="K39" s="33">
        <v>1018</v>
      </c>
      <c r="L39" s="189">
        <v>0</v>
      </c>
      <c r="M39" s="34">
        <f t="shared" si="0"/>
        <v>0</v>
      </c>
      <c r="O39" s="32"/>
    </row>
    <row r="40" spans="1:15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189">
        <f>L40</f>
        <v>0</v>
      </c>
      <c r="H40" s="186">
        <v>0</v>
      </c>
      <c r="I40" s="269">
        <f>'zajedno (segmentno)'!BI21</f>
        <v>0</v>
      </c>
      <c r="J40" s="32"/>
      <c r="K40" s="33">
        <v>1019</v>
      </c>
      <c r="L40" s="189">
        <v>0</v>
      </c>
      <c r="M40" s="34">
        <f t="shared" si="0"/>
        <v>0</v>
      </c>
      <c r="O40" s="32"/>
    </row>
    <row r="41" spans="1:15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189">
        <f>L41-1</f>
        <v>1115</v>
      </c>
      <c r="H41" s="186">
        <v>529</v>
      </c>
      <c r="I41" s="269">
        <f>'zajedno (segmentno)'!BI22</f>
        <v>0</v>
      </c>
      <c r="J41" s="32"/>
      <c r="K41" s="33">
        <v>1020</v>
      </c>
      <c r="L41" s="189">
        <v>1116</v>
      </c>
      <c r="M41" s="34">
        <f t="shared" si="0"/>
        <v>-1</v>
      </c>
      <c r="O41" s="32"/>
    </row>
    <row r="42" spans="1:15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189">
        <f>L42</f>
        <v>12</v>
      </c>
      <c r="H42" s="186">
        <v>0</v>
      </c>
      <c r="I42" s="269">
        <f>'zajedno (segmentno)'!BI23</f>
        <v>0</v>
      </c>
      <c r="J42" s="32"/>
      <c r="K42" s="33">
        <v>1021</v>
      </c>
      <c r="L42" s="189">
        <v>12</v>
      </c>
      <c r="M42" s="34">
        <f t="shared" si="0"/>
        <v>0</v>
      </c>
      <c r="O42" s="32"/>
    </row>
    <row r="43" spans="1:15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189">
        <f>L43</f>
        <v>0</v>
      </c>
      <c r="H43" s="186">
        <v>0</v>
      </c>
      <c r="I43" s="269">
        <f>'zajedno (segmentno)'!BI24</f>
        <v>0</v>
      </c>
      <c r="J43" s="32"/>
      <c r="K43" s="33">
        <v>1022</v>
      </c>
      <c r="L43" s="189">
        <v>0</v>
      </c>
      <c r="M43" s="34">
        <f t="shared" si="0"/>
        <v>0</v>
      </c>
      <c r="O43" s="32"/>
    </row>
    <row r="44" spans="1:15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189">
        <f>L44</f>
        <v>0</v>
      </c>
      <c r="H44" s="186">
        <v>14961</v>
      </c>
      <c r="I44" s="269">
        <f>'zajedno (segmentno)'!BI25</f>
        <v>0</v>
      </c>
      <c r="J44" s="32"/>
      <c r="K44" s="33">
        <v>1023</v>
      </c>
      <c r="L44" s="189">
        <v>0</v>
      </c>
      <c r="M44" s="34">
        <f t="shared" si="0"/>
        <v>0</v>
      </c>
      <c r="O44" s="32"/>
    </row>
    <row r="45" spans="1:15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189">
        <f>L45+1</f>
        <v>1</v>
      </c>
      <c r="H45" s="186">
        <v>0</v>
      </c>
      <c r="I45" s="269">
        <f>'zajedno (segmentno)'!BI26</f>
        <v>0</v>
      </c>
      <c r="J45" s="32"/>
      <c r="K45" s="33">
        <v>1024</v>
      </c>
      <c r="L45" s="189">
        <v>0</v>
      </c>
      <c r="M45" s="34">
        <f t="shared" si="0"/>
        <v>1</v>
      </c>
      <c r="O45" s="32"/>
    </row>
    <row r="46" spans="1:15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189">
        <f>L46</f>
        <v>0</v>
      </c>
      <c r="H46" s="186">
        <v>0</v>
      </c>
      <c r="I46" s="269">
        <f>'zajedno (segmentno)'!BI27</f>
        <v>0</v>
      </c>
      <c r="J46" s="32"/>
      <c r="K46" s="33">
        <v>1025</v>
      </c>
      <c r="L46" s="189">
        <v>0</v>
      </c>
      <c r="M46" s="34">
        <f t="shared" si="0"/>
        <v>0</v>
      </c>
      <c r="O46" s="32"/>
    </row>
    <row r="47" spans="1:15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112032</v>
      </c>
      <c r="H47" s="185">
        <f>H48+H49+H50+H51+H52-H53-H54</f>
        <v>88030</v>
      </c>
      <c r="I47" s="269">
        <f>'zajedno (segmentno)'!BI28</f>
        <v>0</v>
      </c>
      <c r="J47" s="32"/>
      <c r="K47" s="33">
        <v>1026</v>
      </c>
      <c r="L47" s="83">
        <v>112033</v>
      </c>
      <c r="M47" s="34">
        <f t="shared" si="0"/>
        <v>-1</v>
      </c>
      <c r="O47" s="32"/>
    </row>
    <row r="48" spans="1:15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189">
        <f>L48</f>
        <v>0</v>
      </c>
      <c r="H48" s="186">
        <v>0</v>
      </c>
      <c r="I48" s="269">
        <f>'zajedno (segmentno)'!BI29</f>
        <v>0</v>
      </c>
      <c r="J48" s="32"/>
      <c r="K48" s="33">
        <v>1027</v>
      </c>
      <c r="L48" s="189">
        <v>0</v>
      </c>
      <c r="M48" s="34">
        <f t="shared" si="0"/>
        <v>0</v>
      </c>
      <c r="O48" s="32"/>
    </row>
    <row r="49" spans="1:15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189">
        <f>L49+1</f>
        <v>102830</v>
      </c>
      <c r="H49" s="186">
        <v>80158</v>
      </c>
      <c r="I49" s="269">
        <f>'zajedno (segmentno)'!BI30</f>
        <v>0</v>
      </c>
      <c r="J49" s="32"/>
      <c r="K49" s="33">
        <v>1028</v>
      </c>
      <c r="L49" s="189">
        <v>102829</v>
      </c>
      <c r="M49" s="34">
        <f t="shared" si="0"/>
        <v>1</v>
      </c>
      <c r="O49" s="32"/>
    </row>
    <row r="50" spans="1:15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189">
        <f>L50</f>
        <v>0</v>
      </c>
      <c r="H50" s="186">
        <v>0</v>
      </c>
      <c r="I50" s="269">
        <f>'zajedno (segmentno)'!BI31</f>
        <v>0</v>
      </c>
      <c r="J50" s="32"/>
      <c r="K50" s="33">
        <v>1029</v>
      </c>
      <c r="L50" s="189">
        <v>0</v>
      </c>
      <c r="M50" s="34">
        <f t="shared" si="0"/>
        <v>0</v>
      </c>
      <c r="O50" s="32"/>
    </row>
    <row r="51" spans="1:15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189">
        <f>L51</f>
        <v>0</v>
      </c>
      <c r="H51" s="186">
        <v>0</v>
      </c>
      <c r="I51" s="269">
        <f>'zajedno (segmentno)'!BI32</f>
        <v>0</v>
      </c>
      <c r="J51" s="32"/>
      <c r="K51" s="33">
        <v>1030</v>
      </c>
      <c r="L51" s="189">
        <v>0</v>
      </c>
      <c r="M51" s="34">
        <f t="shared" si="0"/>
        <v>0</v>
      </c>
      <c r="O51" s="32"/>
    </row>
    <row r="52" spans="1:15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189">
        <f>L52-2</f>
        <v>9202</v>
      </c>
      <c r="H52" s="186">
        <v>7872</v>
      </c>
      <c r="I52" s="269">
        <f>'zajedno (segmentno)'!BI33</f>
        <v>0</v>
      </c>
      <c r="J52" s="32"/>
      <c r="K52" s="33">
        <v>1031</v>
      </c>
      <c r="L52" s="189">
        <v>9204</v>
      </c>
      <c r="M52" s="34">
        <f t="shared" si="0"/>
        <v>-2</v>
      </c>
      <c r="O52" s="32"/>
    </row>
    <row r="53" spans="1:15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189">
        <f>L53</f>
        <v>0</v>
      </c>
      <c r="H53" s="186">
        <v>0</v>
      </c>
      <c r="I53" s="269">
        <f>'zajedno (segmentno)'!BI34</f>
        <v>0</v>
      </c>
      <c r="J53" s="32"/>
      <c r="K53" s="33">
        <v>1032</v>
      </c>
      <c r="L53" s="189">
        <v>0</v>
      </c>
      <c r="M53" s="34">
        <f t="shared" si="0"/>
        <v>0</v>
      </c>
      <c r="O53" s="32"/>
    </row>
    <row r="54" spans="1:15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189">
        <f>L54</f>
        <v>0</v>
      </c>
      <c r="H54" s="186">
        <v>0</v>
      </c>
      <c r="I54" s="269">
        <f>'zajedno (segmentno)'!BI35</f>
        <v>0</v>
      </c>
      <c r="J54" s="32"/>
      <c r="K54" s="33">
        <v>1033</v>
      </c>
      <c r="L54" s="189">
        <v>0</v>
      </c>
      <c r="M54" s="34">
        <f t="shared" si="0"/>
        <v>0</v>
      </c>
      <c r="O54" s="32"/>
    </row>
    <row r="55" spans="1:15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22242</v>
      </c>
      <c r="H55" s="185">
        <f>IF((H57-H58+H59-H60+H61-H62+H63-H64)&gt;0,(H57-H58+H59-H60+H61-H62+H63-H64),0)</f>
        <v>0</v>
      </c>
      <c r="I55" s="269">
        <f>'zajedno (segmentno)'!BI36</f>
        <v>-38132</v>
      </c>
      <c r="J55" s="32"/>
      <c r="K55" s="33">
        <v>1034</v>
      </c>
      <c r="L55" s="83">
        <v>22241</v>
      </c>
      <c r="M55" s="34">
        <f t="shared" si="0"/>
        <v>1</v>
      </c>
      <c r="O55" s="32"/>
    </row>
    <row r="56" spans="1:15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0</v>
      </c>
      <c r="H56" s="187">
        <f>IF((H57-H58+H59-H60+H61-H62+H63-H64)&lt;0,-(H57-H58+H59-H60+H61-H62+H63-H64),0)</f>
        <v>933</v>
      </c>
      <c r="I56" s="269">
        <f>'zajedno (segmentno)'!BI37</f>
        <v>-38132</v>
      </c>
      <c r="J56" s="32"/>
      <c r="K56" s="33">
        <v>1035</v>
      </c>
      <c r="L56" s="190">
        <v>0</v>
      </c>
      <c r="M56" s="34">
        <f t="shared" si="0"/>
        <v>0</v>
      </c>
      <c r="O56" s="32"/>
    </row>
    <row r="57" spans="1:15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189">
        <f>L57</f>
        <v>0</v>
      </c>
      <c r="H57" s="186">
        <v>0</v>
      </c>
      <c r="I57" s="269">
        <f>'zajedno (segmentno)'!BI38</f>
        <v>0</v>
      </c>
      <c r="J57" s="32"/>
      <c r="K57" s="33">
        <v>1036</v>
      </c>
      <c r="L57" s="189">
        <v>0</v>
      </c>
      <c r="M57" s="34">
        <f t="shared" si="0"/>
        <v>0</v>
      </c>
      <c r="O57" s="32"/>
    </row>
    <row r="58" spans="1:15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189">
        <f>L58</f>
        <v>0</v>
      </c>
      <c r="H58" s="186">
        <v>0</v>
      </c>
      <c r="I58" s="269">
        <f>'zajedno (segmentno)'!BI39</f>
        <v>0</v>
      </c>
      <c r="J58" s="32"/>
      <c r="K58" s="33">
        <v>1037</v>
      </c>
      <c r="L58" s="189">
        <v>0</v>
      </c>
      <c r="M58" s="34">
        <f t="shared" si="0"/>
        <v>0</v>
      </c>
      <c r="O58" s="32"/>
    </row>
    <row r="59" spans="1:15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189">
        <f>L59</f>
        <v>33355</v>
      </c>
      <c r="H59" s="186">
        <v>12977</v>
      </c>
      <c r="I59" s="269">
        <f>'zajedno (segmentno)'!BI40</f>
        <v>0</v>
      </c>
      <c r="J59" s="32"/>
      <c r="K59" s="33">
        <v>1038</v>
      </c>
      <c r="L59" s="189">
        <v>33355</v>
      </c>
      <c r="M59" s="34">
        <f t="shared" si="0"/>
        <v>0</v>
      </c>
      <c r="O59" s="32"/>
    </row>
    <row r="60" spans="1:15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189">
        <f>L60-1</f>
        <v>11113</v>
      </c>
      <c r="H60" s="186">
        <v>13910</v>
      </c>
      <c r="I60" s="269">
        <f>'zajedno (segmentno)'!BI41</f>
        <v>0</v>
      </c>
      <c r="J60" s="32"/>
      <c r="K60" s="33">
        <v>1039</v>
      </c>
      <c r="L60" s="189">
        <v>11114</v>
      </c>
      <c r="M60" s="34">
        <f t="shared" si="0"/>
        <v>-1</v>
      </c>
      <c r="O60" s="32"/>
    </row>
    <row r="61" spans="1:15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189">
        <f t="shared" ref="G61:G66" si="1">L61</f>
        <v>0</v>
      </c>
      <c r="H61" s="186">
        <v>0</v>
      </c>
      <c r="I61" s="269">
        <f>'zajedno (segmentno)'!BI42</f>
        <v>0</v>
      </c>
      <c r="J61" s="32"/>
      <c r="K61" s="33">
        <v>1040</v>
      </c>
      <c r="L61" s="189">
        <v>0</v>
      </c>
      <c r="M61" s="34">
        <f t="shared" si="0"/>
        <v>0</v>
      </c>
      <c r="O61" s="32"/>
    </row>
    <row r="62" spans="1:15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189">
        <f t="shared" si="1"/>
        <v>0</v>
      </c>
      <c r="H62" s="186">
        <v>0</v>
      </c>
      <c r="I62" s="269">
        <f>'zajedno (segmentno)'!BI43</f>
        <v>0</v>
      </c>
      <c r="J62" s="32"/>
      <c r="K62" s="33">
        <v>1041</v>
      </c>
      <c r="L62" s="189">
        <v>0</v>
      </c>
      <c r="M62" s="34">
        <f t="shared" si="0"/>
        <v>0</v>
      </c>
      <c r="O62" s="32"/>
    </row>
    <row r="63" spans="1:15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189">
        <f t="shared" si="1"/>
        <v>0</v>
      </c>
      <c r="H63" s="186">
        <v>0</v>
      </c>
      <c r="I63" s="269">
        <f>'zajedno (segmentno)'!BI44</f>
        <v>0</v>
      </c>
      <c r="J63" s="32"/>
      <c r="K63" s="33">
        <v>1042</v>
      </c>
      <c r="L63" s="189">
        <v>0</v>
      </c>
      <c r="M63" s="34">
        <f t="shared" si="0"/>
        <v>0</v>
      </c>
      <c r="O63" s="32"/>
    </row>
    <row r="64" spans="1:15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189">
        <f t="shared" si="1"/>
        <v>0</v>
      </c>
      <c r="H64" s="186">
        <v>0</v>
      </c>
      <c r="I64" s="269">
        <f>'zajedno (segmentno)'!BI45</f>
        <v>0</v>
      </c>
      <c r="J64" s="32"/>
      <c r="K64" s="33">
        <v>1043</v>
      </c>
      <c r="L64" s="189">
        <v>0</v>
      </c>
      <c r="M64" s="34">
        <f t="shared" si="0"/>
        <v>0</v>
      </c>
      <c r="O64" s="32"/>
    </row>
    <row r="65" spans="1:15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3">
        <f t="shared" si="1"/>
        <v>46</v>
      </c>
      <c r="H65" s="185">
        <v>1</v>
      </c>
      <c r="I65" s="269">
        <f>'zajedno (segmentno)'!BI46</f>
        <v>0</v>
      </c>
      <c r="J65" s="32"/>
      <c r="K65" s="33">
        <v>1044</v>
      </c>
      <c r="L65" s="83">
        <v>46</v>
      </c>
      <c r="M65" s="34">
        <f t="shared" si="0"/>
        <v>0</v>
      </c>
      <c r="O65" s="32"/>
    </row>
    <row r="66" spans="1:15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3">
        <f t="shared" si="1"/>
        <v>0</v>
      </c>
      <c r="H66" s="185">
        <v>0</v>
      </c>
      <c r="I66" s="269">
        <f>'zajedno (segmentno)'!BI47</f>
        <v>0</v>
      </c>
      <c r="J66" s="32"/>
      <c r="K66" s="33">
        <v>1045</v>
      </c>
      <c r="L66" s="83">
        <v>0</v>
      </c>
      <c r="M66" s="34">
        <f t="shared" si="0"/>
        <v>0</v>
      </c>
      <c r="O66" s="32"/>
    </row>
    <row r="67" spans="1:15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3">
        <f>L67+1</f>
        <v>14962</v>
      </c>
      <c r="H67" s="185">
        <v>110</v>
      </c>
      <c r="I67" s="269">
        <f>'zajedno (segmentno)'!BI48</f>
        <v>0</v>
      </c>
      <c r="J67" s="32"/>
      <c r="K67" s="33">
        <v>1046</v>
      </c>
      <c r="L67" s="83">
        <v>14961</v>
      </c>
      <c r="M67" s="34">
        <f t="shared" si="0"/>
        <v>1</v>
      </c>
      <c r="O67" s="32"/>
    </row>
    <row r="68" spans="1:15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3">
        <f>L68-1</f>
        <v>19537</v>
      </c>
      <c r="H68" s="185">
        <v>17285</v>
      </c>
      <c r="I68" s="269">
        <f>'zajedno (segmentno)'!BI49</f>
        <v>0</v>
      </c>
      <c r="J68" s="32"/>
      <c r="K68" s="33">
        <v>1047</v>
      </c>
      <c r="L68" s="83">
        <v>19538</v>
      </c>
      <c r="M68" s="34">
        <f t="shared" si="0"/>
        <v>-1</v>
      </c>
      <c r="O68" s="32"/>
    </row>
    <row r="69" spans="1:15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3">
        <f>L69</f>
        <v>0</v>
      </c>
      <c r="H69" s="185">
        <v>0</v>
      </c>
      <c r="I69" s="269">
        <f>'zajedno (segmentno)'!BI50</f>
        <v>0</v>
      </c>
      <c r="J69" s="32"/>
      <c r="K69" s="33">
        <v>1048</v>
      </c>
      <c r="L69" s="83">
        <v>0</v>
      </c>
      <c r="M69" s="34">
        <f t="shared" si="0"/>
        <v>0</v>
      </c>
      <c r="O69" s="32"/>
    </row>
    <row r="70" spans="1:15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230326</v>
      </c>
      <c r="H70" s="184">
        <f>IF((H22-H37)&gt;0,(H22-H37),0)</f>
        <v>211945</v>
      </c>
      <c r="I70" s="269">
        <f>'zajedno (segmentno)'!BI51</f>
        <v>0</v>
      </c>
      <c r="J70" s="32"/>
      <c r="K70" s="33">
        <v>1049</v>
      </c>
      <c r="L70" s="41">
        <v>230323</v>
      </c>
      <c r="M70" s="34">
        <f t="shared" si="0"/>
        <v>3</v>
      </c>
      <c r="O70" s="32"/>
    </row>
    <row r="71" spans="1:15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184">
        <f>IF((H22-H37)&lt;0,-(H22-H37),0)</f>
        <v>0</v>
      </c>
      <c r="I71" s="269">
        <f>'zajedno (segmentno)'!BI52</f>
        <v>0</v>
      </c>
      <c r="J71" s="32"/>
      <c r="K71" s="33">
        <v>1050</v>
      </c>
      <c r="L71" s="41">
        <v>0</v>
      </c>
      <c r="M71" s="34">
        <f t="shared" si="0"/>
        <v>0</v>
      </c>
      <c r="O71" s="32"/>
    </row>
    <row r="72" spans="1:15" ht="25.5">
      <c r="A72" s="26"/>
      <c r="B72" s="27" t="s">
        <v>56</v>
      </c>
      <c r="C72" s="27"/>
      <c r="D72" s="42" t="s">
        <v>301</v>
      </c>
      <c r="E72" s="29"/>
      <c r="F72" s="30"/>
      <c r="G72" s="41"/>
      <c r="H72" s="184"/>
      <c r="I72" s="269">
        <f>'zajedno (segmentno)'!BI53</f>
        <v>0</v>
      </c>
      <c r="J72" s="32"/>
      <c r="K72" s="43"/>
      <c r="L72" s="41"/>
      <c r="M72" s="45">
        <f t="shared" si="0"/>
        <v>0</v>
      </c>
      <c r="O72" s="32"/>
    </row>
    <row r="73" spans="1:15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23806</v>
      </c>
      <c r="H73" s="184">
        <f>H74+H75+H79+H80+H81+H82+H83</f>
        <v>5681</v>
      </c>
      <c r="I73" s="269">
        <f>'zajedno (segmentno)'!BI54</f>
        <v>0</v>
      </c>
      <c r="J73" s="32"/>
      <c r="K73" s="33">
        <v>1051</v>
      </c>
      <c r="L73" s="41">
        <v>23671</v>
      </c>
      <c r="M73" s="34">
        <f t="shared" si="0"/>
        <v>135</v>
      </c>
      <c r="O73" s="32"/>
    </row>
    <row r="74" spans="1:15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108">
        <f>L74+1</f>
        <v>613</v>
      </c>
      <c r="H74" s="186">
        <v>1413</v>
      </c>
      <c r="I74" s="269">
        <f>'zajedno (segmentno)'!BI55</f>
        <v>0</v>
      </c>
      <c r="J74" s="32"/>
      <c r="K74" s="33">
        <v>1052</v>
      </c>
      <c r="L74" s="108">
        <v>612</v>
      </c>
      <c r="M74" s="34">
        <f t="shared" si="0"/>
        <v>1</v>
      </c>
      <c r="O74" s="32"/>
    </row>
    <row r="75" spans="1:15" ht="15.75" customHeight="1">
      <c r="A75" s="26"/>
      <c r="B75" s="27"/>
      <c r="C75" s="27"/>
      <c r="D75" s="39" t="s">
        <v>188</v>
      </c>
      <c r="E75" s="29" t="s">
        <v>190</v>
      </c>
      <c r="F75" s="30"/>
      <c r="G75" s="108">
        <f>G76+G77+G78</f>
        <v>2477</v>
      </c>
      <c r="H75" s="186">
        <v>2086</v>
      </c>
      <c r="I75" s="269">
        <f>'zajedno (segmentno)'!BI56</f>
        <v>0</v>
      </c>
      <c r="J75" s="32"/>
      <c r="K75" s="33">
        <v>1053</v>
      </c>
      <c r="L75" s="108">
        <v>2476</v>
      </c>
      <c r="M75" s="34">
        <f t="shared" si="0"/>
        <v>1</v>
      </c>
      <c r="O75" s="32"/>
    </row>
    <row r="76" spans="1:15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108">
        <f>L76-1</f>
        <v>1592</v>
      </c>
      <c r="H76" s="186">
        <v>2086</v>
      </c>
      <c r="I76" s="269">
        <f>'zajedno (segmentno)'!BI57</f>
        <v>0</v>
      </c>
      <c r="J76" s="32"/>
      <c r="K76" s="33">
        <v>1054</v>
      </c>
      <c r="L76" s="108">
        <v>1593</v>
      </c>
      <c r="M76" s="34">
        <f t="shared" si="0"/>
        <v>-1</v>
      </c>
      <c r="O76" s="32"/>
    </row>
    <row r="77" spans="1:15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108">
        <f>L77+1</f>
        <v>873</v>
      </c>
      <c r="H77" s="186">
        <v>0</v>
      </c>
      <c r="I77" s="269">
        <f>'zajedno (segmentno)'!BI58</f>
        <v>0</v>
      </c>
      <c r="J77" s="32"/>
      <c r="K77" s="33">
        <v>1055</v>
      </c>
      <c r="L77" s="108">
        <v>872</v>
      </c>
      <c r="M77" s="34">
        <f t="shared" si="0"/>
        <v>1</v>
      </c>
      <c r="O77" s="32"/>
    </row>
    <row r="78" spans="1:15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108">
        <f>L78</f>
        <v>12</v>
      </c>
      <c r="H78" s="186">
        <v>0</v>
      </c>
      <c r="I78" s="269">
        <f>'zajedno (segmentno)'!BI59</f>
        <v>0</v>
      </c>
      <c r="J78" s="32"/>
      <c r="K78" s="33">
        <v>1056</v>
      </c>
      <c r="L78" s="108">
        <v>12</v>
      </c>
      <c r="M78" s="34">
        <f t="shared" si="0"/>
        <v>0</v>
      </c>
      <c r="O78" s="32"/>
    </row>
    <row r="79" spans="1:15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108">
        <f>L79</f>
        <v>2103</v>
      </c>
      <c r="H79" s="186">
        <v>336</v>
      </c>
      <c r="I79" s="269">
        <f>'zajedno (segmentno)'!BI60</f>
        <v>0</v>
      </c>
      <c r="J79" s="32"/>
      <c r="K79" s="33">
        <v>1057</v>
      </c>
      <c r="L79" s="108">
        <v>2103</v>
      </c>
      <c r="M79" s="34">
        <f t="shared" si="0"/>
        <v>0</v>
      </c>
      <c r="O79" s="32"/>
    </row>
    <row r="80" spans="1:15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108">
        <f>L80+180</f>
        <v>7318</v>
      </c>
      <c r="H80" s="186">
        <f>322</f>
        <v>322</v>
      </c>
      <c r="I80" s="269">
        <f>'zajedno (segmentno)'!BI61</f>
        <v>0</v>
      </c>
      <c r="J80" s="32"/>
      <c r="K80" s="33">
        <v>1058</v>
      </c>
      <c r="L80" s="108">
        <v>7138</v>
      </c>
      <c r="M80" s="34">
        <f t="shared" si="0"/>
        <v>180</v>
      </c>
      <c r="O80" s="32"/>
    </row>
    <row r="81" spans="1:15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108">
        <f>L81+1-48</f>
        <v>8442</v>
      </c>
      <c r="H81" s="186">
        <v>14</v>
      </c>
      <c r="I81" s="269">
        <f>'zajedno (segmentno)'!BI62</f>
        <v>0</v>
      </c>
      <c r="J81" s="32"/>
      <c r="K81" s="33">
        <v>1059</v>
      </c>
      <c r="L81" s="108">
        <v>8489</v>
      </c>
      <c r="M81" s="34">
        <f t="shared" si="0"/>
        <v>-47</v>
      </c>
      <c r="O81" s="32"/>
    </row>
    <row r="82" spans="1:15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108">
        <f>L82</f>
        <v>968</v>
      </c>
      <c r="H82" s="186">
        <v>1510</v>
      </c>
      <c r="I82" s="269">
        <f>'zajedno (segmentno)'!BI63</f>
        <v>0</v>
      </c>
      <c r="J82" s="32"/>
      <c r="K82" s="33">
        <v>1060</v>
      </c>
      <c r="L82" s="108">
        <v>968</v>
      </c>
      <c r="M82" s="34">
        <f t="shared" si="0"/>
        <v>0</v>
      </c>
      <c r="O82" s="32"/>
    </row>
    <row r="83" spans="1:15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108">
        <f>L83</f>
        <v>1885</v>
      </c>
      <c r="H83" s="186">
        <v>0</v>
      </c>
      <c r="I83" s="269">
        <f>'zajedno (segmentno)'!BI64</f>
        <v>0</v>
      </c>
      <c r="J83" s="32"/>
      <c r="K83" s="33">
        <v>1061</v>
      </c>
      <c r="L83" s="108">
        <v>1885</v>
      </c>
      <c r="M83" s="34">
        <f t="shared" si="0"/>
        <v>0</v>
      </c>
      <c r="O83" s="32"/>
    </row>
    <row r="84" spans="1:15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6851</v>
      </c>
      <c r="H84" s="184">
        <f>H85+H86+H89+H90+H91+H92</f>
        <v>1173</v>
      </c>
      <c r="I84" s="269">
        <f>'zajedno (segmentno)'!BI65</f>
        <v>0</v>
      </c>
      <c r="J84" s="32"/>
      <c r="K84" s="33">
        <v>1062</v>
      </c>
      <c r="L84" s="41">
        <v>7079</v>
      </c>
      <c r="M84" s="34">
        <f t="shared" si="0"/>
        <v>-228</v>
      </c>
      <c r="O84" s="32"/>
    </row>
    <row r="85" spans="1:15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189">
        <f>L85</f>
        <v>0</v>
      </c>
      <c r="H85" s="186">
        <v>0</v>
      </c>
      <c r="I85" s="269">
        <f>'zajedno (segmentno)'!BI66</f>
        <v>0</v>
      </c>
      <c r="J85" s="32"/>
      <c r="K85" s="70">
        <v>1063</v>
      </c>
      <c r="L85" s="189">
        <v>0</v>
      </c>
      <c r="M85" s="71">
        <f t="shared" si="0"/>
        <v>0</v>
      </c>
      <c r="O85" s="32"/>
    </row>
    <row r="86" spans="1:15" ht="15">
      <c r="A86" s="26"/>
      <c r="B86" s="35"/>
      <c r="C86" s="35"/>
      <c r="D86" s="39" t="s">
        <v>304</v>
      </c>
      <c r="E86" s="29" t="s">
        <v>218</v>
      </c>
      <c r="F86" s="30"/>
      <c r="G86" s="189">
        <f>G87+G88</f>
        <v>3614</v>
      </c>
      <c r="H86" s="186">
        <v>0</v>
      </c>
      <c r="I86" s="269">
        <f>'zajedno (segmentno)'!BI67</f>
        <v>0</v>
      </c>
      <c r="J86" s="32"/>
      <c r="K86" s="70">
        <v>1064</v>
      </c>
      <c r="L86" s="189">
        <v>3614</v>
      </c>
      <c r="M86" s="71">
        <f t="shared" ref="M86:M134" si="2">G86-L86</f>
        <v>0</v>
      </c>
      <c r="O86" s="32"/>
    </row>
    <row r="87" spans="1:15" ht="1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189">
        <f>L87</f>
        <v>3614</v>
      </c>
      <c r="H87" s="186">
        <v>0</v>
      </c>
      <c r="I87" s="269">
        <f>'zajedno (segmentno)'!BI68</f>
        <v>0</v>
      </c>
      <c r="J87" s="32"/>
      <c r="K87" s="70">
        <v>1065</v>
      </c>
      <c r="L87" s="189">
        <v>3614</v>
      </c>
      <c r="M87" s="71">
        <f t="shared" si="2"/>
        <v>0</v>
      </c>
      <c r="O87" s="32"/>
    </row>
    <row r="88" spans="1:15" ht="1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189">
        <f>L88</f>
        <v>0</v>
      </c>
      <c r="H88" s="186">
        <v>0</v>
      </c>
      <c r="I88" s="269">
        <f>'zajedno (segmentno)'!BI69</f>
        <v>0</v>
      </c>
      <c r="J88" s="32"/>
      <c r="K88" s="70">
        <v>1066</v>
      </c>
      <c r="L88" s="189">
        <v>0</v>
      </c>
      <c r="M88" s="71">
        <f t="shared" si="2"/>
        <v>0</v>
      </c>
      <c r="O88" s="32"/>
    </row>
    <row r="89" spans="1:15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189">
        <f>-180+180</f>
        <v>0</v>
      </c>
      <c r="H89" s="186">
        <f>123-123</f>
        <v>0</v>
      </c>
      <c r="I89" s="269">
        <f>'zajedno (segmentno)'!BI70</f>
        <v>0</v>
      </c>
      <c r="J89" s="32"/>
      <c r="K89" s="70">
        <v>1067</v>
      </c>
      <c r="L89" s="189">
        <v>180</v>
      </c>
      <c r="M89" s="71">
        <f t="shared" si="2"/>
        <v>-180</v>
      </c>
      <c r="O89" s="32"/>
    </row>
    <row r="90" spans="1:15" ht="1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189">
        <f>L90-1-48</f>
        <v>2490</v>
      </c>
      <c r="H90" s="186">
        <v>0</v>
      </c>
      <c r="I90" s="269">
        <f>'zajedno (segmentno)'!BI71</f>
        <v>0</v>
      </c>
      <c r="J90" s="32"/>
      <c r="K90" s="70">
        <v>1068</v>
      </c>
      <c r="L90" s="189">
        <v>2539</v>
      </c>
      <c r="M90" s="71">
        <f t="shared" si="2"/>
        <v>-49</v>
      </c>
      <c r="O90" s="32"/>
    </row>
    <row r="91" spans="1:15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189">
        <f>L91</f>
        <v>747</v>
      </c>
      <c r="H91" s="186">
        <v>1173</v>
      </c>
      <c r="I91" s="269">
        <f>'zajedno (segmentno)'!BI72</f>
        <v>0</v>
      </c>
      <c r="J91" s="32"/>
      <c r="K91" s="70">
        <v>1069</v>
      </c>
      <c r="L91" s="189">
        <v>747</v>
      </c>
      <c r="M91" s="71">
        <f t="shared" si="2"/>
        <v>0</v>
      </c>
      <c r="O91" s="32"/>
    </row>
    <row r="92" spans="1:15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189">
        <f>L92</f>
        <v>0</v>
      </c>
      <c r="H92" s="186">
        <v>0</v>
      </c>
      <c r="I92" s="269">
        <f>'zajedno (segmentno)'!BI73</f>
        <v>0</v>
      </c>
      <c r="J92" s="32"/>
      <c r="K92" s="70">
        <v>1070</v>
      </c>
      <c r="L92" s="189">
        <v>0</v>
      </c>
      <c r="M92" s="71">
        <f t="shared" si="2"/>
        <v>0</v>
      </c>
      <c r="O92" s="32"/>
    </row>
    <row r="93" spans="1:15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16955</v>
      </c>
      <c r="H93" s="184">
        <f>IF((H73-H84)&gt;0,(H73-H84),0)</f>
        <v>4508</v>
      </c>
      <c r="I93" s="269">
        <f>'zajedno (segmentno)'!BI74</f>
        <v>0</v>
      </c>
      <c r="J93" s="32"/>
      <c r="K93" s="33">
        <v>1071</v>
      </c>
      <c r="L93" s="41">
        <v>16591</v>
      </c>
      <c r="M93" s="34">
        <f t="shared" si="2"/>
        <v>364</v>
      </c>
      <c r="O93" s="32"/>
    </row>
    <row r="94" spans="1:15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184">
        <f>IF((H73-H84)&lt;0,-(H73-H84),0)</f>
        <v>0</v>
      </c>
      <c r="I94" s="269">
        <f>'zajedno (segmentno)'!BI75</f>
        <v>0</v>
      </c>
      <c r="J94" s="32"/>
      <c r="K94" s="33">
        <v>1072</v>
      </c>
      <c r="L94" s="41">
        <v>0</v>
      </c>
      <c r="M94" s="34">
        <f t="shared" si="2"/>
        <v>0</v>
      </c>
      <c r="O94" s="32"/>
    </row>
    <row r="95" spans="1:15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194954</v>
      </c>
      <c r="H95" s="184">
        <f>H96+H101+H106-H107</f>
        <v>225318</v>
      </c>
      <c r="I95" s="269">
        <f>'zajedno (segmentno)'!BI76</f>
        <v>0</v>
      </c>
      <c r="J95" s="32"/>
      <c r="K95" s="33">
        <v>1073</v>
      </c>
      <c r="L95" s="41">
        <v>194953</v>
      </c>
      <c r="M95" s="34">
        <f t="shared" si="2"/>
        <v>1</v>
      </c>
      <c r="O95" s="32"/>
    </row>
    <row r="96" spans="1:15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157942</v>
      </c>
      <c r="H96" s="185">
        <f>H97+H98-H99+H100</f>
        <v>170204</v>
      </c>
      <c r="I96" s="269">
        <f>'zajedno (segmentno)'!BI77</f>
        <v>0</v>
      </c>
      <c r="J96" s="32"/>
      <c r="K96" s="33">
        <v>1074</v>
      </c>
      <c r="L96" s="83">
        <v>157941</v>
      </c>
      <c r="M96" s="34">
        <f t="shared" si="2"/>
        <v>1</v>
      </c>
      <c r="O96" s="32"/>
    </row>
    <row r="97" spans="1:15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40161+2521+1</f>
        <v>42683</v>
      </c>
      <c r="H97" s="186">
        <f>30309-147</f>
        <v>30162</v>
      </c>
      <c r="I97" s="269">
        <f>'zajedno (segmentno)'!BI78</f>
        <v>0</v>
      </c>
      <c r="J97" s="32"/>
      <c r="K97" s="33">
        <v>1075</v>
      </c>
      <c r="L97" s="189">
        <v>40161</v>
      </c>
      <c r="M97" s="34">
        <f t="shared" si="2"/>
        <v>2522</v>
      </c>
      <c r="O97" s="32"/>
    </row>
    <row r="98" spans="1:15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117780-1391+1</f>
        <v>116390</v>
      </c>
      <c r="H98" s="186">
        <f>139894+1910</f>
        <v>141804</v>
      </c>
      <c r="I98" s="269">
        <f>'zajedno (segmentno)'!BI79</f>
        <v>0</v>
      </c>
      <c r="J98" s="32"/>
      <c r="K98" s="33">
        <v>1076</v>
      </c>
      <c r="L98" s="189">
        <v>117780</v>
      </c>
      <c r="M98" s="34">
        <f t="shared" si="2"/>
        <v>-1390</v>
      </c>
      <c r="O98" s="32"/>
    </row>
    <row r="99" spans="1:15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f>1130+1</f>
        <v>1131</v>
      </c>
      <c r="H99" s="186">
        <v>1762</v>
      </c>
      <c r="I99" s="269">
        <f>'zajedno (segmentno)'!BI80</f>
        <v>-162613</v>
      </c>
      <c r="J99" s="32"/>
      <c r="K99" s="33">
        <v>1077</v>
      </c>
      <c r="L99" s="189">
        <v>0</v>
      </c>
      <c r="M99" s="34">
        <f t="shared" si="2"/>
        <v>1131</v>
      </c>
      <c r="O99" s="32"/>
    </row>
    <row r="100" spans="1:15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f>L100</f>
        <v>0</v>
      </c>
      <c r="H100" s="186">
        <v>0</v>
      </c>
      <c r="I100" s="269">
        <f>'zajedno (segmentno)'!BI81</f>
        <v>-162613</v>
      </c>
      <c r="J100" s="32"/>
      <c r="K100" s="33">
        <v>1078</v>
      </c>
      <c r="L100" s="189">
        <v>0</v>
      </c>
      <c r="M100" s="34">
        <f t="shared" si="2"/>
        <v>0</v>
      </c>
      <c r="O100" s="32"/>
    </row>
    <row r="101" spans="1:15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34609</v>
      </c>
      <c r="H101" s="185">
        <f>H102+H103+H104+H105</f>
        <v>52015</v>
      </c>
      <c r="I101" s="269">
        <f>'zajedno (segmentno)'!BI82</f>
        <v>0</v>
      </c>
      <c r="J101" s="32"/>
      <c r="K101" s="33">
        <v>1079</v>
      </c>
      <c r="L101" s="83">
        <v>34610</v>
      </c>
      <c r="M101" s="34">
        <f t="shared" si="2"/>
        <v>-1</v>
      </c>
      <c r="O101" s="32"/>
    </row>
    <row r="102" spans="1:15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189">
        <f>L102+1</f>
        <v>8503</v>
      </c>
      <c r="H102" s="186">
        <v>10461</v>
      </c>
      <c r="I102" s="269">
        <f>'zajedno (segmentno)'!BI83</f>
        <v>0</v>
      </c>
      <c r="J102" s="32"/>
      <c r="K102" s="33">
        <v>1080</v>
      </c>
      <c r="L102" s="189">
        <v>8502</v>
      </c>
      <c r="M102" s="34">
        <f t="shared" si="2"/>
        <v>1</v>
      </c>
      <c r="O102" s="32"/>
    </row>
    <row r="103" spans="1:15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189">
        <f>L103</f>
        <v>7841</v>
      </c>
      <c r="H103" s="186">
        <v>10413</v>
      </c>
      <c r="I103" s="269">
        <f>'zajedno (segmentno)'!BI84</f>
        <v>0</v>
      </c>
      <c r="J103" s="32"/>
      <c r="K103" s="33">
        <v>1081</v>
      </c>
      <c r="L103" s="189">
        <v>7841</v>
      </c>
      <c r="M103" s="34">
        <f t="shared" si="2"/>
        <v>0</v>
      </c>
      <c r="O103" s="32"/>
    </row>
    <row r="104" spans="1:15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189">
        <f>L104+1</f>
        <v>16348</v>
      </c>
      <c r="H104" s="186">
        <v>28568</v>
      </c>
      <c r="I104" s="269">
        <f>'zajedno (segmentno)'!BI85</f>
        <v>0</v>
      </c>
      <c r="J104" s="32"/>
      <c r="K104" s="33">
        <v>1082</v>
      </c>
      <c r="L104" s="189">
        <v>16347</v>
      </c>
      <c r="M104" s="34">
        <f t="shared" si="2"/>
        <v>1</v>
      </c>
      <c r="O104" s="32"/>
    </row>
    <row r="105" spans="1:15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189">
        <f>L105-2</f>
        <v>1917</v>
      </c>
      <c r="H105" s="186">
        <v>2573</v>
      </c>
      <c r="I105" s="269">
        <f>'zajedno (segmentno)'!BI86</f>
        <v>0</v>
      </c>
      <c r="J105" s="32"/>
      <c r="K105" s="33">
        <v>1083</v>
      </c>
      <c r="L105" s="189">
        <v>1919</v>
      </c>
      <c r="M105" s="34">
        <f t="shared" si="2"/>
        <v>-2</v>
      </c>
      <c r="O105" s="32"/>
    </row>
    <row r="106" spans="1:15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3">
        <f>L106</f>
        <v>2493</v>
      </c>
      <c r="H106" s="185">
        <v>3099</v>
      </c>
      <c r="I106" s="269">
        <f>'zajedno (segmentno)'!BI87</f>
        <v>0</v>
      </c>
      <c r="J106" s="32"/>
      <c r="K106" s="33">
        <v>1084</v>
      </c>
      <c r="L106" s="83">
        <v>2493</v>
      </c>
      <c r="M106" s="34">
        <f t="shared" si="2"/>
        <v>0</v>
      </c>
      <c r="O106" s="32"/>
    </row>
    <row r="107" spans="1:15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3">
        <f>L107</f>
        <v>90</v>
      </c>
      <c r="H107" s="185">
        <v>0</v>
      </c>
      <c r="I107" s="269">
        <f>'zajedno (segmentno)'!BI88</f>
        <v>0</v>
      </c>
      <c r="J107" s="32"/>
      <c r="K107" s="33">
        <v>1085</v>
      </c>
      <c r="L107" s="83">
        <v>90</v>
      </c>
      <c r="M107" s="34">
        <f t="shared" si="2"/>
        <v>0</v>
      </c>
      <c r="O107" s="32"/>
    </row>
    <row r="108" spans="1:15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52327</v>
      </c>
      <c r="H108" s="188">
        <f>IF((H70+H93-H71-H94-H95)&gt;0,(H70+H93-H71-H94-H95),0)</f>
        <v>0</v>
      </c>
      <c r="I108" s="269">
        <f>'zajedno (segmentno)'!BI89</f>
        <v>-630953</v>
      </c>
      <c r="J108" s="32"/>
      <c r="K108" s="33">
        <v>1086</v>
      </c>
      <c r="L108" s="191">
        <v>51962</v>
      </c>
      <c r="M108" s="34">
        <f t="shared" si="2"/>
        <v>365</v>
      </c>
      <c r="O108" s="32"/>
    </row>
    <row r="109" spans="1:15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0</v>
      </c>
      <c r="H109" s="188">
        <f>IF((H70+H93-H71-H94-H95)&lt;0,-(H70+H93-H71-H94-H95),0)</f>
        <v>8865</v>
      </c>
      <c r="I109" s="269">
        <f>'zajedno (segmentno)'!BI90</f>
        <v>-630953</v>
      </c>
      <c r="J109" s="32"/>
      <c r="K109" s="33">
        <v>1087</v>
      </c>
      <c r="L109" s="191">
        <v>0</v>
      </c>
      <c r="M109" s="34">
        <f t="shared" si="2"/>
        <v>0</v>
      </c>
      <c r="O109" s="32"/>
    </row>
    <row r="110" spans="1:15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3">
        <f>L110</f>
        <v>163</v>
      </c>
      <c r="H110" s="185">
        <v>6901</v>
      </c>
      <c r="I110" s="269">
        <f>'zajedno (segmentno)'!BI91</f>
        <v>0</v>
      </c>
      <c r="J110" s="32"/>
      <c r="K110" s="33">
        <v>1088</v>
      </c>
      <c r="L110" s="83">
        <v>163</v>
      </c>
      <c r="M110" s="34">
        <f t="shared" si="2"/>
        <v>0</v>
      </c>
      <c r="O110" s="32"/>
    </row>
    <row r="111" spans="1:15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3">
        <f>L111</f>
        <v>1212</v>
      </c>
      <c r="H111" s="185">
        <v>848</v>
      </c>
      <c r="I111" s="269">
        <f>'zajedno (segmentno)'!BI92</f>
        <v>0</v>
      </c>
      <c r="J111" s="32"/>
      <c r="K111" s="33">
        <v>1089</v>
      </c>
      <c r="L111" s="83">
        <v>1212</v>
      </c>
      <c r="M111" s="34">
        <f t="shared" si="2"/>
        <v>0</v>
      </c>
      <c r="O111" s="32"/>
    </row>
    <row r="112" spans="1:15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3">
        <f>L112+2</f>
        <v>4883</v>
      </c>
      <c r="H112" s="185">
        <v>7466</v>
      </c>
      <c r="I112" s="269">
        <f>'zajedno (segmentno)'!BI93</f>
        <v>0</v>
      </c>
      <c r="J112" s="32"/>
      <c r="K112" s="33">
        <v>1090</v>
      </c>
      <c r="L112" s="83">
        <v>4881</v>
      </c>
      <c r="M112" s="34">
        <f t="shared" si="2"/>
        <v>2</v>
      </c>
      <c r="O112" s="32"/>
    </row>
    <row r="113" spans="1:15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3">
        <f>L113</f>
        <v>13744</v>
      </c>
      <c r="H113" s="185">
        <v>20214</v>
      </c>
      <c r="I113" s="269">
        <f>'zajedno (segmentno)'!BI94</f>
        <v>0</v>
      </c>
      <c r="J113" s="32"/>
      <c r="K113" s="33">
        <v>1091</v>
      </c>
      <c r="L113" s="83">
        <v>13744</v>
      </c>
      <c r="M113" s="34">
        <f t="shared" si="2"/>
        <v>0</v>
      </c>
      <c r="O113" s="32"/>
    </row>
    <row r="114" spans="1:15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3">
        <f>L114</f>
        <v>1854</v>
      </c>
      <c r="H114" s="185">
        <v>1583</v>
      </c>
      <c r="I114" s="269">
        <f>'zajedno (segmentno)'!BI95</f>
        <v>0</v>
      </c>
      <c r="J114" s="32"/>
      <c r="K114" s="33">
        <v>1092</v>
      </c>
      <c r="L114" s="83">
        <v>1854</v>
      </c>
      <c r="M114" s="34">
        <f t="shared" si="2"/>
        <v>0</v>
      </c>
      <c r="O114" s="32"/>
    </row>
    <row r="115" spans="1:15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3">
        <f>L115-1+8</f>
        <v>3830</v>
      </c>
      <c r="H115" s="185">
        <f>987+2</f>
        <v>989</v>
      </c>
      <c r="I115" s="269">
        <f>'zajedno (segmentno)'!BI96</f>
        <v>0</v>
      </c>
      <c r="J115" s="32"/>
      <c r="K115" s="33">
        <v>1093</v>
      </c>
      <c r="L115" s="83">
        <v>3823</v>
      </c>
      <c r="M115" s="34">
        <f t="shared" si="2"/>
        <v>7</v>
      </c>
      <c r="O115" s="32"/>
    </row>
    <row r="116" spans="1:15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40441</v>
      </c>
      <c r="H116" s="188">
        <f>IF((H108+H110+H112+H114-H109-H111-H113-H115)&gt;0,(H108+H110+H112+H114-H109-H111-H113-H115),0)</f>
        <v>0</v>
      </c>
      <c r="I116" s="269">
        <f>'zajedno (segmentno)'!BI97</f>
        <v>-662768</v>
      </c>
      <c r="J116" s="32"/>
      <c r="K116" s="33">
        <v>1094</v>
      </c>
      <c r="L116" s="191">
        <v>40081</v>
      </c>
      <c r="M116" s="34">
        <f t="shared" si="2"/>
        <v>360</v>
      </c>
      <c r="O116" s="32"/>
    </row>
    <row r="117" spans="1:15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0</v>
      </c>
      <c r="H117" s="184">
        <f>IF((H108+H110+H112+H114-H109-H111-H113-H115)&lt;0,-(H108+H110+H112+H114-H109-H111-H113-H115),0)</f>
        <v>14966</v>
      </c>
      <c r="I117" s="269">
        <f>'zajedno (segmentno)'!BI98</f>
        <v>-662768</v>
      </c>
      <c r="J117" s="32"/>
      <c r="K117" s="33">
        <v>1095</v>
      </c>
      <c r="L117" s="41">
        <v>0</v>
      </c>
      <c r="M117" s="34">
        <f t="shared" si="2"/>
        <v>0</v>
      </c>
      <c r="O117" s="32"/>
    </row>
    <row r="118" spans="1:15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3">
        <f>L118+1</f>
        <v>14</v>
      </c>
      <c r="H118" s="185">
        <v>0</v>
      </c>
      <c r="I118" s="269">
        <f>'zajedno (segmentno)'!BI99</f>
        <v>-15</v>
      </c>
      <c r="J118" s="32"/>
      <c r="K118" s="33">
        <v>1096</v>
      </c>
      <c r="L118" s="83">
        <v>13</v>
      </c>
      <c r="M118" s="34">
        <f t="shared" si="2"/>
        <v>1</v>
      </c>
      <c r="O118" s="32"/>
    </row>
    <row r="119" spans="1:15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3">
        <f>L119</f>
        <v>0</v>
      </c>
      <c r="H119" s="185">
        <f>1337-1337</f>
        <v>0</v>
      </c>
      <c r="I119" s="269">
        <f>'zajedno (segmentno)'!BI100</f>
        <v>-15</v>
      </c>
      <c r="J119" s="32"/>
      <c r="K119" s="33">
        <v>1097</v>
      </c>
      <c r="L119" s="83">
        <v>0</v>
      </c>
      <c r="M119" s="34">
        <f t="shared" si="2"/>
        <v>0</v>
      </c>
      <c r="O119" s="32"/>
    </row>
    <row r="120" spans="1:15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3">
        <f>IF((G116+G118-G117-G119)&gt;0,(G116+G118-G117-G119),0)</f>
        <v>40455</v>
      </c>
      <c r="H120" s="185">
        <f>IF((H116+H118-H117-H119)&gt;0,(H116+H118-H117-H119),0)</f>
        <v>0</v>
      </c>
      <c r="I120" s="269">
        <f>'zajedno (segmentno)'!BI101</f>
        <v>-666693</v>
      </c>
      <c r="J120" s="32"/>
      <c r="K120" s="33">
        <v>1098</v>
      </c>
      <c r="L120" s="83">
        <v>40095</v>
      </c>
      <c r="M120" s="34">
        <f t="shared" si="2"/>
        <v>360</v>
      </c>
      <c r="O120" s="32"/>
    </row>
    <row r="121" spans="1:15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3">
        <f>IF((G116+G118-G117-G119)&lt;0,-(G116+G118-G117-G119),0)</f>
        <v>0</v>
      </c>
      <c r="H121" s="185">
        <f>IF((H116+H118-H117-H119)&lt;0,-(H116+H118-H117-H119),0)</f>
        <v>14966</v>
      </c>
      <c r="I121" s="269">
        <f>'zajedno (segmentno)'!BI102</f>
        <v>-666693</v>
      </c>
      <c r="J121" s="32"/>
      <c r="K121" s="33">
        <v>1099</v>
      </c>
      <c r="L121" s="83">
        <v>0</v>
      </c>
      <c r="M121" s="34">
        <f t="shared" si="2"/>
        <v>0</v>
      </c>
      <c r="O121" s="32"/>
    </row>
    <row r="122" spans="1:15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189"/>
      <c r="H122" s="186"/>
      <c r="I122" s="269">
        <f>'zajedno (segmentno)'!BI103</f>
        <v>0</v>
      </c>
      <c r="J122" s="32"/>
      <c r="K122" s="43"/>
      <c r="L122" s="189"/>
      <c r="M122" s="45">
        <f t="shared" si="2"/>
        <v>0</v>
      </c>
      <c r="O122" s="32"/>
    </row>
    <row r="123" spans="1:15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189">
        <f>L123</f>
        <v>0</v>
      </c>
      <c r="H123" s="186">
        <v>0</v>
      </c>
      <c r="I123" s="269">
        <f>'zajedno (segmentno)'!BI104</f>
        <v>0</v>
      </c>
      <c r="J123" s="32"/>
      <c r="K123" s="33">
        <v>1100</v>
      </c>
      <c r="L123" s="189">
        <v>0</v>
      </c>
      <c r="M123" s="34">
        <f t="shared" si="2"/>
        <v>0</v>
      </c>
      <c r="O123" s="32"/>
    </row>
    <row r="124" spans="1:15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189">
        <f>0+42585</f>
        <v>42585</v>
      </c>
      <c r="H124" s="186">
        <v>0</v>
      </c>
      <c r="I124" s="269">
        <f>'zajedno (segmentno)'!BI105</f>
        <v>0</v>
      </c>
      <c r="J124" s="32"/>
      <c r="K124" s="33">
        <v>1101</v>
      </c>
      <c r="L124" s="189">
        <v>0</v>
      </c>
      <c r="M124" s="34">
        <f t="shared" si="2"/>
        <v>42585</v>
      </c>
      <c r="O124" s="32"/>
    </row>
    <row r="125" spans="1:15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189">
        <f>L125</f>
        <v>0</v>
      </c>
      <c r="H125" s="186">
        <v>0</v>
      </c>
      <c r="I125" s="269">
        <f>'zajedno (segmentno)'!BI106</f>
        <v>0</v>
      </c>
      <c r="J125" s="32"/>
      <c r="K125" s="33">
        <v>1102</v>
      </c>
      <c r="L125" s="189">
        <v>0</v>
      </c>
      <c r="M125" s="34">
        <f t="shared" si="2"/>
        <v>0</v>
      </c>
      <c r="O125" s="32"/>
    </row>
    <row r="126" spans="1:15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191">
        <f>IF((G120-G121-G123+G124-G125)&gt;0,G120-G121-G123+G124-G125,"0")</f>
        <v>83040</v>
      </c>
      <c r="H126" s="188" t="s">
        <v>330</v>
      </c>
      <c r="I126" s="269">
        <f>'zajedno (segmentno)'!BI107</f>
        <v>-666693</v>
      </c>
      <c r="J126" s="32"/>
      <c r="K126" s="33">
        <v>1103</v>
      </c>
      <c r="L126" s="191">
        <v>40095</v>
      </c>
      <c r="M126" s="34">
        <f t="shared" si="2"/>
        <v>42945</v>
      </c>
      <c r="O126" s="32"/>
    </row>
    <row r="127" spans="1:15">
      <c r="A127" s="29"/>
      <c r="B127" s="27"/>
      <c r="C127" s="27"/>
      <c r="D127" s="53" t="s">
        <v>272</v>
      </c>
      <c r="E127" s="29" t="s">
        <v>284</v>
      </c>
      <c r="F127" s="30"/>
      <c r="G127" s="41"/>
      <c r="H127" s="184"/>
      <c r="I127" s="269">
        <f>'zajedno (segmentno)'!BI108</f>
        <v>0</v>
      </c>
      <c r="J127" s="32"/>
      <c r="K127" s="33">
        <v>1104</v>
      </c>
      <c r="L127" s="41">
        <v>0</v>
      </c>
      <c r="M127" s="34">
        <f t="shared" si="2"/>
        <v>0</v>
      </c>
      <c r="O127" s="32"/>
    </row>
    <row r="128" spans="1:15">
      <c r="A128" s="29"/>
      <c r="B128" s="27"/>
      <c r="C128" s="27"/>
      <c r="D128" s="53" t="s">
        <v>273</v>
      </c>
      <c r="E128" s="29" t="s">
        <v>285</v>
      </c>
      <c r="F128" s="30"/>
      <c r="G128" s="41"/>
      <c r="H128" s="184"/>
      <c r="I128" s="269">
        <f>'zajedno (segmentno)'!BI109</f>
        <v>0</v>
      </c>
      <c r="J128" s="32"/>
      <c r="K128" s="33">
        <v>1105</v>
      </c>
      <c r="L128" s="41">
        <v>0</v>
      </c>
      <c r="M128" s="34">
        <f t="shared" si="2"/>
        <v>0</v>
      </c>
      <c r="O128" s="32"/>
    </row>
    <row r="129" spans="1:19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 t="str">
        <f>IF((G120-G121-G123+G124-G125)&lt;0,-(G120-G121-G123+G124-G125),"0")</f>
        <v>0</v>
      </c>
      <c r="H129" s="188">
        <f>IF((H120-H121-H123+H124-H125)&lt;0,-(H120-H121-H123+H124-H125),"0")</f>
        <v>14966</v>
      </c>
      <c r="I129" s="269">
        <f>'zajedno (segmentno)'!BI110</f>
        <v>-666693</v>
      </c>
      <c r="J129" s="32"/>
      <c r="K129" s="33">
        <v>1106</v>
      </c>
      <c r="L129" s="191">
        <v>0</v>
      </c>
      <c r="M129" s="34">
        <f t="shared" si="2"/>
        <v>0</v>
      </c>
      <c r="O129" s="32"/>
      <c r="P129" s="188">
        <f>14842</f>
        <v>14842</v>
      </c>
    </row>
    <row r="130" spans="1:19">
      <c r="A130" s="29"/>
      <c r="B130" s="27"/>
      <c r="C130" s="27"/>
      <c r="D130" s="39" t="s">
        <v>274</v>
      </c>
      <c r="E130" s="29" t="s">
        <v>287</v>
      </c>
      <c r="F130" s="30"/>
      <c r="G130" s="189">
        <v>0</v>
      </c>
      <c r="H130" s="186">
        <v>0</v>
      </c>
      <c r="I130" s="269">
        <f>'zajedno (segmentno)'!BI111</f>
        <v>0</v>
      </c>
      <c r="J130" s="32"/>
      <c r="K130" s="33">
        <v>1107</v>
      </c>
      <c r="L130" s="189">
        <v>0</v>
      </c>
      <c r="M130" s="34">
        <f t="shared" si="2"/>
        <v>0</v>
      </c>
      <c r="O130" s="32"/>
      <c r="P130" s="280">
        <v>40455</v>
      </c>
      <c r="Q130" s="280">
        <v>42585</v>
      </c>
      <c r="S130" s="188">
        <f>P130+Q130+R130</f>
        <v>83040</v>
      </c>
    </row>
    <row r="131" spans="1:19">
      <c r="A131" s="29"/>
      <c r="B131" s="27"/>
      <c r="C131" s="27"/>
      <c r="D131" s="39" t="s">
        <v>275</v>
      </c>
      <c r="E131" s="29" t="s">
        <v>288</v>
      </c>
      <c r="F131" s="30"/>
      <c r="G131" s="189">
        <v>0</v>
      </c>
      <c r="H131" s="186">
        <v>0</v>
      </c>
      <c r="I131" s="269">
        <f>'zajedno (segmentno)'!BI112</f>
        <v>0</v>
      </c>
      <c r="J131" s="32"/>
      <c r="K131" s="33">
        <v>1108</v>
      </c>
      <c r="L131" s="189">
        <v>0</v>
      </c>
      <c r="M131" s="34">
        <f t="shared" si="2"/>
        <v>0</v>
      </c>
      <c r="O131" s="32"/>
      <c r="P131" s="193"/>
      <c r="S131" s="193">
        <f>S130-G126</f>
        <v>0</v>
      </c>
    </row>
    <row r="132" spans="1:19">
      <c r="A132" s="29"/>
      <c r="B132" s="27" t="s">
        <v>93</v>
      </c>
      <c r="C132" s="27"/>
      <c r="D132" s="28" t="s">
        <v>94</v>
      </c>
      <c r="E132" s="29"/>
      <c r="F132" s="30"/>
      <c r="G132" s="189">
        <v>0</v>
      </c>
      <c r="H132" s="186">
        <v>0</v>
      </c>
      <c r="I132" s="269">
        <f>'zajedno (segmentno)'!BI113</f>
        <v>0</v>
      </c>
      <c r="J132" s="32"/>
      <c r="K132" s="33">
        <v>1109</v>
      </c>
      <c r="L132" s="189">
        <v>0</v>
      </c>
      <c r="M132" s="34">
        <f t="shared" si="2"/>
        <v>0</v>
      </c>
      <c r="O132" s="32"/>
    </row>
    <row r="133" spans="1:19">
      <c r="A133" s="29"/>
      <c r="B133" s="27"/>
      <c r="C133" s="27"/>
      <c r="D133" s="39" t="s">
        <v>276</v>
      </c>
      <c r="E133" s="29" t="s">
        <v>289</v>
      </c>
      <c r="F133" s="30"/>
      <c r="G133" s="189">
        <v>0</v>
      </c>
      <c r="H133" s="186">
        <v>0</v>
      </c>
      <c r="I133" s="269">
        <f>'zajedno (segmentno)'!BI114</f>
        <v>0</v>
      </c>
      <c r="J133" s="32"/>
      <c r="K133" s="33">
        <v>1110</v>
      </c>
      <c r="L133" s="189">
        <v>0</v>
      </c>
      <c r="M133" s="34">
        <f t="shared" si="2"/>
        <v>0</v>
      </c>
      <c r="O133" s="32"/>
    </row>
    <row r="134" spans="1:19" ht="25.5">
      <c r="A134" s="29"/>
      <c r="B134" s="27"/>
      <c r="C134" s="27"/>
      <c r="D134" s="39" t="s">
        <v>277</v>
      </c>
      <c r="E134" s="29" t="s">
        <v>290</v>
      </c>
      <c r="F134" s="30"/>
      <c r="G134" s="189">
        <v>0</v>
      </c>
      <c r="H134" s="186">
        <v>0</v>
      </c>
      <c r="I134" s="269">
        <f>'zajedno (segmentno)'!BI115</f>
        <v>0</v>
      </c>
      <c r="J134" s="32"/>
      <c r="K134" s="33">
        <v>1111</v>
      </c>
      <c r="L134" s="189">
        <v>0</v>
      </c>
      <c r="M134" s="34">
        <f t="shared" si="2"/>
        <v>0</v>
      </c>
      <c r="O134" s="32"/>
    </row>
    <row r="135" spans="1:19" ht="13.5" customHeight="1">
      <c r="H135" s="32"/>
      <c r="I135" s="232"/>
      <c r="K135" s="33"/>
      <c r="L135" s="57"/>
      <c r="O135" s="32"/>
    </row>
    <row r="136" spans="1:19">
      <c r="O136" s="32"/>
    </row>
    <row r="137" spans="1:19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I137" s="270"/>
      <c r="O137" s="32"/>
    </row>
    <row r="138" spans="1:19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I138" s="271"/>
      <c r="O138" s="32"/>
    </row>
    <row r="139" spans="1:19">
      <c r="A139" s="1"/>
      <c r="B139" s="2"/>
      <c r="C139" s="58"/>
      <c r="D139" s="59"/>
      <c r="E139" s="60"/>
      <c r="F139" s="60"/>
      <c r="G139" s="276"/>
      <c r="H139" s="61"/>
      <c r="I139" s="233"/>
      <c r="O139" s="32"/>
    </row>
    <row r="140" spans="1:19">
      <c r="A140" s="62"/>
      <c r="B140" s="63"/>
      <c r="C140" s="64"/>
      <c r="D140" s="64"/>
      <c r="E140" s="64"/>
      <c r="F140" s="64"/>
      <c r="G140" s="277"/>
      <c r="H140" s="65"/>
      <c r="I140" s="234"/>
      <c r="O140" s="32"/>
    </row>
    <row r="141" spans="1:19">
      <c r="A141" s="1"/>
      <c r="B141" s="2"/>
      <c r="C141" s="58"/>
      <c r="D141" s="59"/>
      <c r="E141" s="60"/>
      <c r="F141" s="60"/>
      <c r="G141" s="278"/>
      <c r="H141" s="66"/>
      <c r="I141" s="235"/>
      <c r="O141" s="32"/>
    </row>
    <row r="142" spans="1:19">
      <c r="A142" s="1"/>
      <c r="B142" s="2"/>
      <c r="C142" s="58"/>
      <c r="D142" s="59"/>
      <c r="E142" s="60"/>
      <c r="F142" s="60"/>
      <c r="G142" s="276"/>
      <c r="H142" s="61"/>
      <c r="I142" s="233"/>
      <c r="O142" s="32"/>
    </row>
    <row r="143" spans="1:19">
      <c r="A143" s="1"/>
      <c r="B143" s="2"/>
      <c r="C143" s="58"/>
      <c r="D143" s="59"/>
      <c r="E143" s="60"/>
      <c r="F143" s="60"/>
      <c r="G143" s="276"/>
      <c r="H143" s="61"/>
      <c r="I143" s="233"/>
      <c r="O143" s="32"/>
    </row>
    <row r="144" spans="1:19">
      <c r="A144" s="1"/>
      <c r="B144" s="2"/>
      <c r="C144" s="58"/>
      <c r="D144" s="59"/>
      <c r="E144" s="60"/>
      <c r="F144" s="60"/>
      <c r="G144" s="276"/>
      <c r="H144" s="61"/>
      <c r="I144" s="233"/>
      <c r="O144" s="32"/>
    </row>
    <row r="145" spans="1:15">
      <c r="A145" s="1"/>
      <c r="B145" s="2"/>
      <c r="C145" s="58"/>
      <c r="D145" s="59"/>
      <c r="E145" s="60"/>
      <c r="F145" s="60"/>
      <c r="G145" s="276"/>
      <c r="H145" s="61"/>
      <c r="I145" s="233"/>
      <c r="O145" s="32"/>
    </row>
    <row r="146" spans="1:15">
      <c r="A146" s="1"/>
      <c r="B146" s="2"/>
      <c r="C146" s="58"/>
      <c r="D146" s="59"/>
      <c r="E146" s="60"/>
      <c r="F146" s="60"/>
      <c r="G146" s="276"/>
      <c r="H146" s="61"/>
      <c r="I146" s="233"/>
      <c r="O146" s="32"/>
    </row>
    <row r="147" spans="1:15">
      <c r="A147" s="1"/>
      <c r="B147" s="2"/>
      <c r="C147" s="58"/>
      <c r="D147" s="59"/>
      <c r="E147" s="60"/>
      <c r="F147" s="60"/>
      <c r="G147" s="276"/>
      <c r="H147" s="61"/>
      <c r="I147" s="233"/>
      <c r="O147" s="32"/>
    </row>
    <row r="148" spans="1:15">
      <c r="A148" s="1"/>
      <c r="B148" s="2"/>
      <c r="C148" s="58"/>
      <c r="D148" s="59"/>
      <c r="E148" s="60"/>
      <c r="F148" s="60"/>
      <c r="G148" s="279"/>
      <c r="H148" s="61"/>
      <c r="I148" s="233"/>
      <c r="O148" s="32"/>
    </row>
    <row r="149" spans="1:15">
      <c r="A149" s="1"/>
      <c r="B149" s="2"/>
      <c r="C149" s="58"/>
      <c r="D149" s="59"/>
      <c r="E149" s="60"/>
      <c r="F149" s="60"/>
      <c r="G149" s="276"/>
      <c r="H149" s="61"/>
      <c r="I149" s="233"/>
      <c r="O149" s="32"/>
    </row>
    <row r="150" spans="1:15">
      <c r="A150" s="1"/>
      <c r="B150" s="2"/>
      <c r="C150" s="58"/>
      <c r="D150" s="59"/>
      <c r="E150" s="60"/>
      <c r="F150" s="60"/>
      <c r="G150" s="276"/>
      <c r="H150" s="61"/>
      <c r="I150" s="233"/>
      <c r="O150" s="32"/>
    </row>
    <row r="151" spans="1:15">
      <c r="A151" s="1"/>
      <c r="B151" s="2"/>
      <c r="C151" s="58"/>
      <c r="D151" s="59"/>
      <c r="E151" s="60"/>
      <c r="F151" s="60"/>
      <c r="G151" s="276"/>
      <c r="H151" s="61"/>
      <c r="I151" s="233"/>
      <c r="O151" s="32"/>
    </row>
    <row r="152" spans="1:15">
      <c r="A152" s="1"/>
      <c r="B152" s="2"/>
      <c r="C152" s="58"/>
      <c r="D152" s="59"/>
      <c r="E152" s="60"/>
      <c r="F152" s="60"/>
      <c r="G152" s="276"/>
      <c r="H152" s="61"/>
      <c r="I152" s="233"/>
      <c r="O152" s="32"/>
    </row>
    <row r="153" spans="1:15">
      <c r="A153" s="1"/>
      <c r="B153" s="2"/>
      <c r="C153" s="58"/>
      <c r="D153" s="59"/>
      <c r="E153" s="60"/>
      <c r="F153" s="60"/>
      <c r="G153" s="276"/>
      <c r="H153" s="61"/>
      <c r="I153" s="233"/>
      <c r="O153" s="32"/>
    </row>
    <row r="154" spans="1:15">
      <c r="A154" s="1"/>
      <c r="B154" s="2"/>
      <c r="C154" s="58"/>
      <c r="D154" s="59"/>
      <c r="E154" s="60"/>
      <c r="F154" s="60"/>
      <c r="G154" s="276"/>
      <c r="H154" s="61"/>
      <c r="I154" s="233"/>
      <c r="O154" s="32"/>
    </row>
    <row r="155" spans="1:15">
      <c r="A155" s="1"/>
      <c r="B155" s="2"/>
      <c r="C155" s="58"/>
      <c r="D155" s="59"/>
      <c r="E155" s="60"/>
      <c r="F155" s="60"/>
      <c r="G155" s="276"/>
      <c r="H155" s="61"/>
      <c r="I155" s="233"/>
      <c r="O155" s="32"/>
    </row>
    <row r="156" spans="1:15">
      <c r="A156" s="1"/>
      <c r="B156" s="2"/>
      <c r="C156" s="58"/>
      <c r="D156" s="59"/>
      <c r="E156" s="60"/>
      <c r="F156" s="60"/>
      <c r="G156" s="276"/>
      <c r="H156" s="61"/>
      <c r="I156" s="233"/>
      <c r="O156" s="32"/>
    </row>
    <row r="157" spans="1:15">
      <c r="A157" s="1"/>
      <c r="B157" s="2"/>
      <c r="C157" s="58"/>
      <c r="D157" s="59"/>
      <c r="E157" s="60"/>
      <c r="F157" s="60"/>
      <c r="G157" s="276"/>
      <c r="H157" s="61"/>
      <c r="I157" s="233"/>
      <c r="O157" s="32"/>
    </row>
    <row r="158" spans="1:15">
      <c r="A158" s="1"/>
      <c r="B158" s="2"/>
      <c r="C158" s="58"/>
      <c r="D158" s="59"/>
      <c r="E158" s="60"/>
      <c r="F158" s="60"/>
      <c r="G158" s="276"/>
      <c r="H158" s="61"/>
      <c r="I158" s="233"/>
      <c r="O158" s="32"/>
    </row>
    <row r="159" spans="1:15">
      <c r="A159" s="1"/>
      <c r="B159" s="2"/>
      <c r="C159" s="58"/>
      <c r="D159" s="59"/>
      <c r="E159" s="60"/>
      <c r="F159" s="60"/>
      <c r="G159" s="276"/>
      <c r="H159" s="61"/>
      <c r="I159" s="233"/>
      <c r="O159" s="32"/>
    </row>
    <row r="160" spans="1:15">
      <c r="A160" s="1"/>
      <c r="B160" s="2"/>
      <c r="C160" s="58"/>
      <c r="D160" s="59"/>
      <c r="E160" s="60"/>
      <c r="F160" s="60"/>
      <c r="G160" s="276"/>
      <c r="H160" s="61"/>
      <c r="I160" s="233"/>
      <c r="O160" s="32"/>
    </row>
    <row r="161" spans="1:15">
      <c r="A161" s="1"/>
      <c r="B161" s="2"/>
      <c r="C161" s="58"/>
      <c r="D161" s="59"/>
      <c r="E161" s="60"/>
      <c r="F161" s="60"/>
      <c r="G161" s="276"/>
      <c r="H161" s="61"/>
      <c r="I161" s="233"/>
      <c r="O161" s="32"/>
    </row>
    <row r="162" spans="1:15">
      <c r="A162" s="1"/>
      <c r="B162" s="2"/>
      <c r="C162" s="58"/>
      <c r="D162" s="59"/>
      <c r="E162" s="60"/>
      <c r="F162" s="60"/>
      <c r="G162" s="276"/>
      <c r="H162" s="61"/>
      <c r="I162" s="233"/>
      <c r="O162" s="32"/>
    </row>
    <row r="163" spans="1:15">
      <c r="A163" s="1"/>
      <c r="B163" s="2"/>
      <c r="C163" s="58"/>
      <c r="D163" s="59"/>
      <c r="E163" s="60"/>
      <c r="F163" s="60"/>
      <c r="G163" s="276"/>
      <c r="H163" s="61"/>
      <c r="I163" s="233"/>
      <c r="O163" s="32"/>
    </row>
    <row r="164" spans="1:15">
      <c r="A164" s="1"/>
      <c r="B164" s="2"/>
      <c r="C164" s="58"/>
      <c r="D164" s="59"/>
      <c r="E164" s="60"/>
      <c r="F164" s="60"/>
      <c r="G164" s="276"/>
      <c r="H164" s="61"/>
      <c r="I164" s="233"/>
      <c r="O164" s="32"/>
    </row>
    <row r="165" spans="1:15">
      <c r="A165" s="1"/>
      <c r="B165" s="2"/>
      <c r="C165" s="58"/>
      <c r="D165" s="59"/>
      <c r="E165" s="60"/>
      <c r="F165" s="60"/>
      <c r="G165" s="276"/>
      <c r="H165" s="61"/>
      <c r="I165" s="233"/>
      <c r="O165" s="32"/>
    </row>
    <row r="166" spans="1:15">
      <c r="A166" s="1"/>
      <c r="B166" s="2"/>
      <c r="C166" s="3"/>
      <c r="D166" s="68"/>
      <c r="E166" s="4"/>
      <c r="F166" s="4"/>
      <c r="O166" s="32"/>
    </row>
    <row r="167" spans="1:15">
      <c r="A167" s="1"/>
      <c r="B167" s="2"/>
      <c r="C167" s="3"/>
      <c r="D167" s="68"/>
      <c r="E167" s="4"/>
      <c r="F167" s="4"/>
      <c r="O167" s="32"/>
    </row>
    <row r="168" spans="1:15">
      <c r="A168" s="1"/>
      <c r="B168" s="2"/>
      <c r="C168" s="3"/>
      <c r="D168" s="68"/>
      <c r="E168" s="4"/>
      <c r="F168" s="4"/>
      <c r="O168" s="32"/>
    </row>
    <row r="169" spans="1:15">
      <c r="A169" s="1"/>
      <c r="B169" s="2"/>
      <c r="C169" s="3"/>
      <c r="D169" s="68"/>
      <c r="E169" s="4"/>
      <c r="F169" s="4"/>
      <c r="O169" s="32"/>
    </row>
    <row r="170" spans="1:15">
      <c r="A170" s="1"/>
      <c r="B170" s="2"/>
      <c r="C170" s="3"/>
      <c r="D170" s="68"/>
      <c r="E170" s="4"/>
      <c r="F170" s="4"/>
      <c r="O170" s="32"/>
    </row>
    <row r="171" spans="1:15">
      <c r="A171" s="1"/>
      <c r="B171" s="2"/>
      <c r="C171" s="3"/>
      <c r="D171" s="68"/>
      <c r="E171" s="4"/>
      <c r="F171" s="4"/>
      <c r="O171" s="32"/>
    </row>
    <row r="172" spans="1:15">
      <c r="A172" s="1"/>
      <c r="B172" s="2"/>
      <c r="C172" s="3"/>
      <c r="D172" s="68"/>
      <c r="E172" s="4"/>
      <c r="F172" s="4"/>
      <c r="O172" s="32"/>
    </row>
    <row r="173" spans="1:15">
      <c r="A173" s="1"/>
      <c r="B173" s="2"/>
      <c r="C173" s="3"/>
      <c r="D173" s="68"/>
      <c r="E173" s="4"/>
      <c r="F173" s="4"/>
      <c r="O173" s="32"/>
    </row>
    <row r="174" spans="1:15">
      <c r="A174" s="1"/>
      <c r="B174" s="2"/>
      <c r="C174" s="3"/>
      <c r="D174" s="68"/>
      <c r="E174" s="4"/>
      <c r="F174" s="4"/>
      <c r="O174" s="32"/>
    </row>
    <row r="175" spans="1:15">
      <c r="A175" s="1"/>
      <c r="B175" s="2"/>
      <c r="C175" s="3"/>
      <c r="D175" s="68"/>
      <c r="E175" s="4"/>
      <c r="F175" s="4"/>
      <c r="O175" s="32"/>
    </row>
    <row r="176" spans="1:15">
      <c r="A176" s="1"/>
      <c r="B176" s="2"/>
      <c r="C176" s="3"/>
      <c r="D176" s="68"/>
      <c r="E176" s="4"/>
      <c r="F176" s="4"/>
      <c r="O176" s="32"/>
    </row>
    <row r="177" spans="1:15">
      <c r="A177" s="1"/>
      <c r="B177" s="2"/>
      <c r="C177" s="3"/>
      <c r="D177" s="68"/>
      <c r="E177" s="4"/>
      <c r="F177" s="4"/>
      <c r="O177" s="32"/>
    </row>
    <row r="178" spans="1:15">
      <c r="A178" s="1"/>
      <c r="B178" s="2"/>
      <c r="C178" s="3"/>
      <c r="D178" s="68"/>
      <c r="E178" s="4"/>
      <c r="F178" s="4"/>
      <c r="O178" s="32"/>
    </row>
    <row r="179" spans="1:15">
      <c r="A179" s="1"/>
      <c r="B179" s="2"/>
      <c r="C179" s="3"/>
      <c r="D179" s="68"/>
      <c r="E179" s="4"/>
      <c r="F179" s="4"/>
      <c r="O179" s="32"/>
    </row>
    <row r="180" spans="1:15">
      <c r="A180" s="1"/>
      <c r="B180" s="2"/>
      <c r="C180" s="3"/>
      <c r="D180" s="68"/>
      <c r="E180" s="4"/>
      <c r="F180" s="4"/>
      <c r="O180" s="32"/>
    </row>
    <row r="181" spans="1:15">
      <c r="A181" s="1"/>
      <c r="B181" s="2"/>
      <c r="C181" s="3"/>
      <c r="D181" s="68"/>
      <c r="E181" s="4"/>
      <c r="F181" s="4"/>
      <c r="O181" s="32"/>
    </row>
    <row r="182" spans="1:15">
      <c r="A182" s="1"/>
      <c r="B182" s="2"/>
      <c r="C182" s="3"/>
      <c r="D182" s="68"/>
      <c r="E182" s="4"/>
      <c r="F182" s="4"/>
      <c r="O182" s="32"/>
    </row>
    <row r="183" spans="1:15">
      <c r="A183" s="1"/>
      <c r="B183" s="2"/>
      <c r="C183" s="3"/>
      <c r="D183" s="68"/>
      <c r="E183" s="4"/>
      <c r="F183" s="4"/>
      <c r="O183" s="32"/>
    </row>
    <row r="184" spans="1:15">
      <c r="A184" s="1"/>
      <c r="B184" s="2"/>
      <c r="C184" s="3"/>
      <c r="D184" s="68"/>
      <c r="E184" s="4"/>
      <c r="F184" s="4"/>
      <c r="O184" s="32"/>
    </row>
    <row r="185" spans="1:15">
      <c r="A185" s="1"/>
      <c r="B185" s="2"/>
      <c r="C185" s="3"/>
      <c r="D185" s="68"/>
      <c r="E185" s="4"/>
      <c r="F185" s="4"/>
      <c r="O185" s="32"/>
    </row>
    <row r="186" spans="1:15">
      <c r="A186" s="1"/>
      <c r="B186" s="2"/>
      <c r="C186" s="3"/>
      <c r="D186" s="68"/>
      <c r="E186" s="4"/>
      <c r="F186" s="4"/>
      <c r="O186" s="32"/>
    </row>
    <row r="187" spans="1:15">
      <c r="A187" s="1"/>
      <c r="B187" s="2"/>
      <c r="C187" s="3"/>
      <c r="D187" s="68"/>
      <c r="E187" s="4"/>
      <c r="F187" s="4"/>
      <c r="O187" s="32"/>
    </row>
    <row r="188" spans="1:15">
      <c r="A188" s="1"/>
      <c r="B188" s="2"/>
      <c r="C188" s="3"/>
      <c r="D188" s="68"/>
      <c r="E188" s="4"/>
      <c r="F188" s="4"/>
    </row>
    <row r="189" spans="1:15">
      <c r="A189" s="1"/>
      <c r="B189" s="2"/>
      <c r="C189" s="3"/>
      <c r="D189" s="68"/>
      <c r="E189" s="4"/>
      <c r="F189" s="4"/>
    </row>
    <row r="190" spans="1:15">
      <c r="A190" s="1"/>
      <c r="B190" s="2"/>
      <c r="C190" s="3"/>
      <c r="D190" s="68"/>
      <c r="E190" s="4"/>
      <c r="F190" s="4"/>
    </row>
    <row r="191" spans="1:15">
      <c r="A191" s="1"/>
      <c r="B191" s="2"/>
      <c r="C191" s="3"/>
      <c r="D191" s="68"/>
      <c r="E191" s="4"/>
      <c r="F191" s="4"/>
    </row>
    <row r="192" spans="1:15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  <mergeCell ref="G17:H17"/>
    <mergeCell ref="B20:D20"/>
    <mergeCell ref="A137:C137"/>
    <mergeCell ref="D137:F137"/>
    <mergeCell ref="G137:H137"/>
    <mergeCell ref="A138:C138"/>
    <mergeCell ref="D138:F138"/>
    <mergeCell ref="G138:H138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171450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27"/>
  <sheetViews>
    <sheetView topLeftCell="B2" workbookViewId="0">
      <selection activeCell="H24" sqref="H24"/>
    </sheetView>
  </sheetViews>
  <sheetFormatPr defaultRowHeight="12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10" width="9.140625" style="5"/>
    <col min="11" max="11" width="12.85546875" style="5" customWidth="1"/>
    <col min="12" max="12" width="11.7109375" style="97" customWidth="1"/>
    <col min="13" max="16384" width="9.140625" style="5"/>
  </cols>
  <sheetData>
    <row r="1" spans="1:12" ht="16.5" customHeight="1">
      <c r="A1" s="1"/>
      <c r="B1" s="2"/>
      <c r="C1" s="3"/>
      <c r="D1" s="4"/>
      <c r="E1" s="4"/>
      <c r="F1" s="4"/>
    </row>
    <row r="2" spans="1:12" ht="14.25">
      <c r="A2" s="319"/>
      <c r="B2" s="319"/>
      <c r="C2" s="319"/>
      <c r="D2" s="319"/>
      <c r="E2" s="4"/>
      <c r="F2" s="4"/>
    </row>
    <row r="3" spans="1:12" ht="13.5" customHeight="1">
      <c r="A3" s="319"/>
      <c r="B3" s="319"/>
      <c r="C3" s="319"/>
      <c r="D3" s="319"/>
      <c r="E3" s="4"/>
      <c r="F3" s="4"/>
    </row>
    <row r="4" spans="1:12" ht="15" customHeight="1">
      <c r="A4" s="319"/>
      <c r="B4" s="319"/>
      <c r="C4" s="319"/>
      <c r="D4" s="319"/>
      <c r="E4" s="4"/>
      <c r="F4" s="4"/>
    </row>
    <row r="5" spans="1:12" ht="16.5" customHeight="1">
      <c r="A5" s="319"/>
      <c r="B5" s="319"/>
      <c r="C5" s="319"/>
      <c r="D5" s="319"/>
      <c r="E5" s="4"/>
      <c r="F5" s="4"/>
    </row>
    <row r="6" spans="1:12" ht="14.25">
      <c r="A6" s="319"/>
      <c r="B6" s="319"/>
      <c r="C6" s="319"/>
      <c r="D6" s="319"/>
      <c r="E6" s="4"/>
      <c r="F6" s="4"/>
    </row>
    <row r="7" spans="1:12" ht="13.5" customHeight="1">
      <c r="A7" s="1"/>
      <c r="B7" s="2"/>
      <c r="C7" s="3"/>
      <c r="D7" s="4"/>
      <c r="E7" s="4"/>
      <c r="F7" s="4"/>
    </row>
    <row r="8" spans="1:12" ht="13.5" customHeight="1">
      <c r="A8" s="1"/>
      <c r="B8" s="2"/>
      <c r="C8" s="3"/>
      <c r="D8" s="4"/>
      <c r="E8" s="4"/>
      <c r="F8" s="4"/>
    </row>
    <row r="9" spans="1:12" ht="13.5" customHeight="1">
      <c r="A9" s="1"/>
      <c r="B9" s="2"/>
      <c r="C9" s="3"/>
      <c r="D9" s="4"/>
      <c r="E9" s="4"/>
      <c r="F9" s="4"/>
    </row>
    <row r="10" spans="1:12">
      <c r="A10" s="1"/>
      <c r="B10" s="2"/>
      <c r="C10" s="3"/>
      <c r="D10" s="4"/>
      <c r="E10" s="4"/>
      <c r="F10" s="4"/>
    </row>
    <row r="11" spans="1:12" s="7" customFormat="1" ht="13.5" customHeight="1">
      <c r="A11" s="318"/>
      <c r="B11" s="318"/>
      <c r="C11" s="318"/>
      <c r="D11" s="318"/>
      <c r="E11" s="318"/>
      <c r="F11" s="318"/>
      <c r="G11" s="318"/>
      <c r="L11" s="98"/>
    </row>
    <row r="12" spans="1:12" s="7" customFormat="1" ht="13.5" customHeight="1">
      <c r="A12" s="318"/>
      <c r="B12" s="318"/>
      <c r="C12" s="318"/>
      <c r="D12" s="318"/>
      <c r="E12" s="4"/>
      <c r="F12" s="4"/>
      <c r="L12" s="98"/>
    </row>
    <row r="13" spans="1:12" s="7" customFormat="1" ht="24" customHeight="1">
      <c r="A13" s="1"/>
      <c r="B13" s="2"/>
      <c r="C13" s="3"/>
      <c r="D13" s="4"/>
      <c r="E13" s="4"/>
      <c r="F13" s="4"/>
      <c r="H13" s="9"/>
      <c r="L13" s="98"/>
    </row>
    <row r="14" spans="1:12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L14" s="98"/>
    </row>
    <row r="15" spans="1:12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L15" s="98"/>
    </row>
    <row r="16" spans="1:12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L16" s="98"/>
    </row>
    <row r="17" spans="1:13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L17" s="98"/>
    </row>
    <row r="18" spans="1:13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L18" s="98"/>
    </row>
    <row r="19" spans="1:13" s="7" customFormat="1" ht="37.5" customHeight="1">
      <c r="A19" s="336"/>
      <c r="B19" s="336"/>
      <c r="C19" s="336"/>
      <c r="D19" s="336"/>
      <c r="E19" s="337"/>
      <c r="F19" s="338"/>
      <c r="G19" s="10" t="s">
        <v>4</v>
      </c>
      <c r="H19" s="224" t="s">
        <v>5</v>
      </c>
      <c r="L19" s="98"/>
    </row>
    <row r="20" spans="1:13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15">
        <v>5</v>
      </c>
      <c r="H20" s="225">
        <v>6</v>
      </c>
      <c r="K20" s="98"/>
      <c r="L20" s="98"/>
    </row>
    <row r="21" spans="1:13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3"/>
      <c r="H21" s="23"/>
      <c r="K21" s="345"/>
      <c r="L21" s="345"/>
    </row>
    <row r="22" spans="1:13" s="96" customFormat="1" ht="31.5" customHeight="1">
      <c r="A22" s="76"/>
      <c r="B22" s="84"/>
      <c r="C22" s="84" t="s">
        <v>12</v>
      </c>
      <c r="D22" s="85" t="s">
        <v>291</v>
      </c>
      <c r="E22" s="89" t="s">
        <v>106</v>
      </c>
      <c r="F22" s="77"/>
      <c r="G22" s="41">
        <f>G23+G30+G35+G36</f>
        <v>16972497</v>
      </c>
      <c r="H22" s="41"/>
      <c r="I22" s="80"/>
      <c r="K22" s="80"/>
      <c r="L22" s="80"/>
    </row>
    <row r="23" spans="1:13" s="96" customFormat="1" ht="25.5" customHeight="1">
      <c r="A23" s="89"/>
      <c r="B23" s="84"/>
      <c r="C23" s="84"/>
      <c r="D23" s="85" t="s">
        <v>292</v>
      </c>
      <c r="E23" s="89" t="s">
        <v>107</v>
      </c>
      <c r="F23" s="82"/>
      <c r="G23" s="83">
        <f>G24+G25-G26-G27-G28+G29</f>
        <v>16595519</v>
      </c>
      <c r="H23" s="83"/>
      <c r="I23" s="80"/>
      <c r="K23" s="80"/>
      <c r="L23" s="80"/>
    </row>
    <row r="24" spans="1:13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40">
        <v>0</v>
      </c>
      <c r="H24" s="189"/>
      <c r="I24" s="80"/>
      <c r="K24" s="80"/>
      <c r="L24" s="100"/>
    </row>
    <row r="25" spans="1:13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40">
        <v>20154405</v>
      </c>
      <c r="H25" s="189"/>
      <c r="I25" s="80"/>
      <c r="K25" s="80"/>
      <c r="L25" s="100"/>
    </row>
    <row r="26" spans="1:13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40">
        <v>905007</v>
      </c>
      <c r="H26" s="189"/>
      <c r="I26" s="80"/>
      <c r="K26" s="80"/>
      <c r="L26" s="100"/>
    </row>
    <row r="27" spans="1:13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40">
        <f>1431804-1</f>
        <v>1431803</v>
      </c>
      <c r="H27" s="189"/>
      <c r="I27" s="80"/>
      <c r="K27" s="80"/>
      <c r="L27" s="100"/>
    </row>
    <row r="28" spans="1:13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40">
        <v>1222076</v>
      </c>
      <c r="H28" s="189"/>
      <c r="I28" s="80"/>
      <c r="K28" s="80"/>
      <c r="L28" s="100"/>
      <c r="M28" s="92"/>
    </row>
    <row r="29" spans="1:13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40">
        <v>0</v>
      </c>
      <c r="H29" s="189"/>
      <c r="I29" s="80"/>
      <c r="K29" s="80"/>
      <c r="L29" s="100"/>
    </row>
    <row r="30" spans="1:13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v>0</v>
      </c>
      <c r="H30" s="83"/>
      <c r="I30" s="80"/>
      <c r="K30" s="80"/>
      <c r="L30" s="100"/>
    </row>
    <row r="31" spans="1:13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40">
        <v>0</v>
      </c>
      <c r="H31" s="189"/>
      <c r="I31" s="80"/>
      <c r="K31" s="80"/>
      <c r="L31" s="100"/>
    </row>
    <row r="32" spans="1:13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40">
        <v>0</v>
      </c>
      <c r="H32" s="189"/>
      <c r="I32" s="80"/>
      <c r="K32" s="80"/>
      <c r="L32" s="100"/>
    </row>
    <row r="33" spans="1:12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40">
        <v>0</v>
      </c>
      <c r="H33" s="189"/>
      <c r="I33" s="80"/>
      <c r="K33" s="80"/>
      <c r="L33" s="100"/>
    </row>
    <row r="34" spans="1:12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40">
        <v>0</v>
      </c>
      <c r="H34" s="189"/>
      <c r="I34" s="80"/>
      <c r="K34" s="80"/>
      <c r="L34" s="100"/>
    </row>
    <row r="35" spans="1:12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37">
        <v>254527</v>
      </c>
      <c r="H35" s="83"/>
      <c r="I35" s="80"/>
      <c r="K35" s="80"/>
      <c r="L35" s="100"/>
    </row>
    <row r="36" spans="1:12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37">
        <v>122451</v>
      </c>
      <c r="H36" s="83"/>
      <c r="I36" s="80"/>
      <c r="K36" s="80"/>
      <c r="L36" s="100"/>
    </row>
    <row r="37" spans="1:12" s="81" customFormat="1" ht="33" customHeight="1">
      <c r="A37" s="105"/>
      <c r="B37" s="102"/>
      <c r="C37" s="103" t="s">
        <v>22</v>
      </c>
      <c r="D37" s="104" t="s">
        <v>294</v>
      </c>
      <c r="E37" s="106" t="s">
        <v>127</v>
      </c>
      <c r="F37" s="77"/>
      <c r="G37" s="41">
        <f>G38+G47+G55-G56-G65+G66-G67+G68+G69</f>
        <v>9768692</v>
      </c>
      <c r="H37" s="41"/>
      <c r="I37" s="80"/>
      <c r="K37" s="80"/>
      <c r="L37" s="80"/>
    </row>
    <row r="38" spans="1:12" s="81" customFormat="1" ht="32.25" customHeight="1">
      <c r="A38" s="107"/>
      <c r="B38" s="102"/>
      <c r="C38" s="103"/>
      <c r="D38" s="104" t="s">
        <v>295</v>
      </c>
      <c r="E38" s="106" t="s">
        <v>128</v>
      </c>
      <c r="F38" s="82"/>
      <c r="G38" s="83">
        <f>G39+G40+G41+G42+G43+G44+G45+G46</f>
        <v>1684334</v>
      </c>
      <c r="H38" s="83"/>
      <c r="I38" s="80"/>
      <c r="K38" s="80"/>
      <c r="L38" s="80"/>
    </row>
    <row r="39" spans="1:12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40">
        <v>0</v>
      </c>
      <c r="H39" s="189"/>
      <c r="I39" s="80"/>
      <c r="K39" s="80"/>
      <c r="L39" s="100"/>
    </row>
    <row r="40" spans="1:12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40">
        <v>0</v>
      </c>
      <c r="H40" s="189"/>
      <c r="I40" s="80"/>
      <c r="K40" s="80"/>
      <c r="L40" s="100"/>
    </row>
    <row r="41" spans="1:12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40">
        <v>375161</v>
      </c>
      <c r="H41" s="189"/>
      <c r="I41" s="80"/>
      <c r="K41" s="80"/>
      <c r="L41" s="100"/>
    </row>
    <row r="42" spans="1:12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40">
        <v>637</v>
      </c>
      <c r="H42" s="189"/>
      <c r="I42" s="80"/>
      <c r="K42" s="80"/>
      <c r="L42" s="100"/>
    </row>
    <row r="43" spans="1:12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40">
        <v>782166</v>
      </c>
      <c r="H43" s="189"/>
      <c r="I43" s="80"/>
      <c r="K43" s="80"/>
      <c r="L43" s="100"/>
    </row>
    <row r="44" spans="1:12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40">
        <v>0</v>
      </c>
      <c r="H44" s="189"/>
      <c r="I44" s="80"/>
      <c r="K44" s="80"/>
      <c r="L44" s="100"/>
    </row>
    <row r="45" spans="1:12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40">
        <v>39530</v>
      </c>
      <c r="H45" s="189"/>
      <c r="I45" s="80"/>
      <c r="K45" s="80"/>
      <c r="L45" s="100"/>
    </row>
    <row r="46" spans="1:12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40">
        <v>486840</v>
      </c>
      <c r="H46" s="189"/>
      <c r="I46" s="80"/>
      <c r="K46" s="80"/>
      <c r="L46" s="100"/>
    </row>
    <row r="47" spans="1:12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7444184</v>
      </c>
      <c r="H47" s="83"/>
      <c r="I47" s="80"/>
      <c r="K47" s="80"/>
      <c r="L47" s="100"/>
    </row>
    <row r="48" spans="1:12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40">
        <v>0</v>
      </c>
      <c r="H48" s="189"/>
      <c r="I48" s="80"/>
      <c r="K48" s="80"/>
      <c r="L48" s="100"/>
    </row>
    <row r="49" spans="1:12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40">
        <v>8809449</v>
      </c>
      <c r="H49" s="189"/>
      <c r="I49" s="80"/>
      <c r="K49" s="80"/>
      <c r="L49" s="100"/>
    </row>
    <row r="50" spans="1:12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40">
        <v>38273</v>
      </c>
      <c r="H50" s="189"/>
      <c r="I50" s="80"/>
      <c r="K50" s="80"/>
      <c r="L50" s="100"/>
    </row>
    <row r="51" spans="1:12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40">
        <v>3429</v>
      </c>
      <c r="H51" s="189"/>
      <c r="I51" s="80"/>
      <c r="K51" s="80"/>
      <c r="L51" s="100"/>
    </row>
    <row r="52" spans="1:12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40">
        <f>646448-1</f>
        <v>646447</v>
      </c>
      <c r="H52" s="189"/>
      <c r="I52" s="80"/>
      <c r="K52" s="80"/>
      <c r="L52" s="100"/>
    </row>
    <row r="53" spans="1:12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40">
        <v>305253</v>
      </c>
      <c r="H53" s="189"/>
      <c r="I53" s="80"/>
      <c r="K53" s="80"/>
      <c r="L53" s="100"/>
    </row>
    <row r="54" spans="1:12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40">
        <v>1748161</v>
      </c>
      <c r="H54" s="189"/>
      <c r="I54" s="80"/>
      <c r="K54" s="80"/>
      <c r="L54" s="100"/>
    </row>
    <row r="55" spans="1:12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1829673</v>
      </c>
      <c r="H55" s="83"/>
      <c r="I55" s="80"/>
      <c r="K55" s="80"/>
      <c r="L55" s="100"/>
    </row>
    <row r="56" spans="1:12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0</v>
      </c>
      <c r="H56" s="190"/>
      <c r="I56" s="80"/>
      <c r="K56" s="80"/>
      <c r="L56" s="100"/>
    </row>
    <row r="57" spans="1:12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40">
        <v>0</v>
      </c>
      <c r="H57" s="189"/>
      <c r="I57" s="80"/>
      <c r="K57" s="80"/>
      <c r="L57" s="100"/>
    </row>
    <row r="58" spans="1:12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40">
        <v>0</v>
      </c>
      <c r="H58" s="189"/>
      <c r="I58" s="80"/>
      <c r="K58" s="80"/>
      <c r="L58" s="100"/>
    </row>
    <row r="59" spans="1:12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40">
        <v>3908217</v>
      </c>
      <c r="H59" s="189"/>
      <c r="I59" s="80"/>
      <c r="K59" s="80"/>
      <c r="L59" s="100"/>
    </row>
    <row r="60" spans="1:12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40">
        <v>2069219</v>
      </c>
      <c r="H60" s="189"/>
      <c r="I60" s="80"/>
      <c r="K60" s="80"/>
      <c r="L60" s="100"/>
    </row>
    <row r="61" spans="1:12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40">
        <v>5564</v>
      </c>
      <c r="H61" s="189"/>
      <c r="I61" s="80"/>
      <c r="K61" s="80"/>
      <c r="L61" s="100"/>
    </row>
    <row r="62" spans="1:12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40">
        <v>14889</v>
      </c>
      <c r="H62" s="189"/>
      <c r="I62" s="80"/>
      <c r="K62" s="80"/>
      <c r="L62" s="100"/>
    </row>
    <row r="63" spans="1:12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40">
        <v>0</v>
      </c>
      <c r="H63" s="189"/>
      <c r="I63" s="80"/>
      <c r="K63" s="80"/>
      <c r="L63" s="100"/>
    </row>
    <row r="64" spans="1:12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40">
        <v>0</v>
      </c>
      <c r="H64" s="189"/>
      <c r="I64" s="80"/>
      <c r="K64" s="80"/>
      <c r="L64" s="100"/>
    </row>
    <row r="65" spans="1:12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37">
        <v>345348</v>
      </c>
      <c r="H65" s="83"/>
      <c r="I65" s="80"/>
      <c r="K65" s="80"/>
      <c r="L65" s="100"/>
    </row>
    <row r="66" spans="1:12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37">
        <v>0</v>
      </c>
      <c r="H66" s="83"/>
      <c r="I66" s="80"/>
      <c r="K66" s="80"/>
      <c r="L66" s="100"/>
    </row>
    <row r="67" spans="1:12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37">
        <v>1421413</v>
      </c>
      <c r="H67" s="83"/>
      <c r="I67" s="80"/>
      <c r="K67" s="80"/>
      <c r="L67" s="100"/>
    </row>
    <row r="68" spans="1:12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37">
        <v>577262</v>
      </c>
      <c r="H68" s="83"/>
      <c r="I68" s="80"/>
      <c r="K68" s="80"/>
      <c r="L68" s="100"/>
    </row>
    <row r="69" spans="1:12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37">
        <v>0</v>
      </c>
      <c r="H69" s="83"/>
      <c r="I69" s="80"/>
      <c r="K69" s="80"/>
      <c r="L69" s="100"/>
    </row>
    <row r="70" spans="1:12" ht="13.5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7203805</v>
      </c>
      <c r="H70" s="41"/>
      <c r="I70" s="80"/>
      <c r="K70" s="80"/>
      <c r="L70" s="100"/>
    </row>
    <row r="71" spans="1:12" ht="13.5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41"/>
      <c r="I71" s="80"/>
      <c r="K71" s="80"/>
      <c r="L71" s="100"/>
    </row>
    <row r="72" spans="1:12" ht="25.5">
      <c r="A72" s="26"/>
      <c r="B72" s="27" t="s">
        <v>56</v>
      </c>
      <c r="C72" s="27"/>
      <c r="D72" s="42" t="s">
        <v>301</v>
      </c>
      <c r="E72" s="29"/>
      <c r="F72" s="30"/>
      <c r="G72" s="31"/>
      <c r="H72" s="41"/>
      <c r="I72" s="80"/>
      <c r="K72" s="80"/>
      <c r="L72" s="100"/>
    </row>
    <row r="73" spans="1:12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1099019</v>
      </c>
      <c r="H73" s="41"/>
      <c r="I73" s="80"/>
      <c r="K73" s="80"/>
      <c r="L73" s="100"/>
    </row>
    <row r="74" spans="1:12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47">
        <v>31488</v>
      </c>
      <c r="H74" s="189"/>
      <c r="I74" s="80"/>
      <c r="K74" s="80"/>
      <c r="L74" s="100"/>
    </row>
    <row r="75" spans="1:12" ht="15.75" customHeight="1">
      <c r="A75" s="26"/>
      <c r="B75" s="27"/>
      <c r="C75" s="27"/>
      <c r="D75" s="39" t="s">
        <v>188</v>
      </c>
      <c r="E75" s="29" t="s">
        <v>190</v>
      </c>
      <c r="F75" s="30"/>
      <c r="G75" s="47">
        <f>G76+G77+G78</f>
        <v>153495</v>
      </c>
      <c r="H75" s="189"/>
      <c r="I75" s="80"/>
      <c r="K75" s="80"/>
      <c r="L75" s="100"/>
    </row>
    <row r="76" spans="1:12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47">
        <v>86412</v>
      </c>
      <c r="H76" s="189"/>
      <c r="I76" s="80"/>
      <c r="K76" s="80"/>
      <c r="L76" s="100"/>
    </row>
    <row r="77" spans="1:12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47">
        <f>66573+1</f>
        <v>66574</v>
      </c>
      <c r="H77" s="189"/>
      <c r="I77" s="80"/>
      <c r="K77" s="80"/>
      <c r="L77" s="100"/>
    </row>
    <row r="78" spans="1:12" ht="13.5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47">
        <v>509</v>
      </c>
      <c r="H78" s="189"/>
      <c r="I78" s="80"/>
      <c r="K78" s="80"/>
      <c r="L78" s="100"/>
    </row>
    <row r="79" spans="1:12" ht="13.5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47">
        <v>114019</v>
      </c>
      <c r="H79" s="189"/>
      <c r="I79" s="80"/>
      <c r="K79" s="80"/>
      <c r="L79" s="100"/>
    </row>
    <row r="80" spans="1:12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47">
        <f>311895-1</f>
        <v>311894</v>
      </c>
      <c r="H80" s="189"/>
      <c r="I80" s="80"/>
      <c r="K80" s="80"/>
      <c r="L80" s="100"/>
    </row>
    <row r="81" spans="1:12" ht="13.5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47">
        <v>359996</v>
      </c>
      <c r="H81" s="189"/>
      <c r="I81" s="80"/>
      <c r="K81" s="80"/>
      <c r="L81" s="100"/>
    </row>
    <row r="82" spans="1:12" ht="13.5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47">
        <f>81821+1</f>
        <v>81822</v>
      </c>
      <c r="H82" s="189"/>
      <c r="I82" s="80"/>
      <c r="K82" s="80"/>
      <c r="L82" s="100"/>
    </row>
    <row r="83" spans="1:12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47">
        <f>46305</f>
        <v>46305</v>
      </c>
      <c r="H83" s="189"/>
      <c r="I83" s="80"/>
      <c r="K83" s="80"/>
      <c r="L83" s="100"/>
    </row>
    <row r="84" spans="1:12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468254</v>
      </c>
      <c r="H84" s="41"/>
      <c r="I84" s="80"/>
      <c r="K84" s="80"/>
      <c r="L84" s="100"/>
    </row>
    <row r="85" spans="1:12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40">
        <v>0</v>
      </c>
      <c r="H85" s="189"/>
      <c r="I85" s="80"/>
      <c r="K85" s="80"/>
      <c r="L85" s="100"/>
    </row>
    <row r="86" spans="1:12" ht="13.5">
      <c r="A86" s="26"/>
      <c r="B86" s="35"/>
      <c r="C86" s="35"/>
      <c r="D86" s="39" t="s">
        <v>304</v>
      </c>
      <c r="E86" s="29" t="s">
        <v>218</v>
      </c>
      <c r="F86" s="30"/>
      <c r="G86" s="40">
        <v>274526</v>
      </c>
      <c r="H86" s="189"/>
      <c r="I86" s="80"/>
      <c r="K86" s="80"/>
      <c r="L86" s="100"/>
    </row>
    <row r="87" spans="1:12" ht="13.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40">
        <v>274526</v>
      </c>
      <c r="H87" s="189"/>
      <c r="I87" s="80"/>
      <c r="K87" s="80"/>
      <c r="L87" s="100"/>
    </row>
    <row r="88" spans="1:12" ht="13.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40">
        <v>0</v>
      </c>
      <c r="H88" s="189"/>
      <c r="I88" s="80"/>
      <c r="K88" s="80"/>
      <c r="L88" s="100"/>
    </row>
    <row r="89" spans="1:12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40">
        <v>31423</v>
      </c>
      <c r="H89" s="189"/>
      <c r="I89" s="80"/>
      <c r="K89" s="80"/>
      <c r="L89" s="100"/>
    </row>
    <row r="90" spans="1:12" ht="13.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40">
        <v>128024</v>
      </c>
      <c r="H90" s="189"/>
      <c r="I90" s="80"/>
      <c r="K90" s="80"/>
      <c r="L90" s="100"/>
    </row>
    <row r="91" spans="1:12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40">
        <f>34280+1</f>
        <v>34281</v>
      </c>
      <c r="H91" s="189"/>
      <c r="I91" s="80"/>
      <c r="K91" s="80"/>
      <c r="L91" s="100"/>
    </row>
    <row r="92" spans="1:12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40">
        <v>0</v>
      </c>
      <c r="H92" s="189"/>
      <c r="I92" s="80"/>
      <c r="K92" s="80"/>
      <c r="L92" s="100"/>
    </row>
    <row r="93" spans="1:12" ht="13.5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630765</v>
      </c>
      <c r="H93" s="41"/>
      <c r="I93" s="80"/>
      <c r="K93" s="80"/>
      <c r="L93" s="100"/>
    </row>
    <row r="94" spans="1:12" ht="13.5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41"/>
      <c r="I94" s="80"/>
      <c r="K94" s="80"/>
      <c r="L94" s="100"/>
    </row>
    <row r="95" spans="1:12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6833141</v>
      </c>
      <c r="H95" s="41"/>
      <c r="I95" s="80"/>
      <c r="K95" s="80"/>
      <c r="L95" s="100"/>
    </row>
    <row r="96" spans="1:12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4983866</v>
      </c>
      <c r="H96" s="83"/>
      <c r="I96" s="80"/>
      <c r="K96" s="80"/>
      <c r="L96" s="100"/>
    </row>
    <row r="97" spans="1:12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527980+17181</f>
        <v>545161</v>
      </c>
      <c r="H97" s="189"/>
      <c r="I97" s="80"/>
      <c r="K97" s="80"/>
      <c r="L97" s="100"/>
    </row>
    <row r="98" spans="1:12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4455886+111684</f>
        <v>4567570</v>
      </c>
      <c r="H98" s="189"/>
      <c r="I98" s="80"/>
      <c r="K98" s="80"/>
      <c r="L98" s="100"/>
    </row>
    <row r="99" spans="1:12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v>128865</v>
      </c>
      <c r="H99" s="189"/>
      <c r="I99" s="80"/>
      <c r="K99" s="80"/>
      <c r="L99" s="100"/>
    </row>
    <row r="100" spans="1:12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v>0</v>
      </c>
      <c r="H100" s="189"/>
      <c r="I100" s="80"/>
      <c r="K100" s="80"/>
      <c r="L100" s="100"/>
    </row>
    <row r="101" spans="1:12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1850023</v>
      </c>
      <c r="H101" s="83"/>
      <c r="I101" s="80"/>
      <c r="K101" s="80"/>
      <c r="L101" s="100"/>
    </row>
    <row r="102" spans="1:12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40">
        <v>444049</v>
      </c>
      <c r="H102" s="189"/>
      <c r="I102" s="80"/>
      <c r="K102" s="80"/>
      <c r="L102" s="100"/>
    </row>
    <row r="103" spans="1:12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40">
        <f>422247-1</f>
        <v>422246</v>
      </c>
      <c r="H103" s="189"/>
      <c r="I103" s="80"/>
      <c r="K103" s="80"/>
      <c r="L103" s="100"/>
    </row>
    <row r="104" spans="1:12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40">
        <v>851395</v>
      </c>
      <c r="H104" s="189"/>
      <c r="I104" s="80"/>
      <c r="K104" s="80"/>
      <c r="L104" s="100"/>
    </row>
    <row r="105" spans="1:12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40">
        <v>132333</v>
      </c>
      <c r="H105" s="189"/>
      <c r="I105" s="80"/>
      <c r="K105" s="80"/>
      <c r="L105" s="100"/>
    </row>
    <row r="106" spans="1:12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37">
        <v>128932</v>
      </c>
      <c r="H106" s="83"/>
      <c r="I106" s="80"/>
      <c r="K106" s="80"/>
      <c r="L106" s="100"/>
    </row>
    <row r="107" spans="1:12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37">
        <f>129679+1</f>
        <v>129680</v>
      </c>
      <c r="H107" s="83"/>
      <c r="I107" s="80"/>
      <c r="K107" s="80"/>
      <c r="L107" s="100"/>
    </row>
    <row r="108" spans="1:12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1001429</v>
      </c>
      <c r="H108" s="191"/>
      <c r="I108" s="80"/>
      <c r="K108" s="80"/>
      <c r="L108" s="100"/>
    </row>
    <row r="109" spans="1:12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0</v>
      </c>
      <c r="H109" s="191"/>
      <c r="I109" s="80"/>
      <c r="K109" s="80"/>
      <c r="L109" s="100"/>
    </row>
    <row r="110" spans="1:12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37">
        <v>256576</v>
      </c>
      <c r="H110" s="83"/>
      <c r="I110" s="80"/>
      <c r="K110" s="80"/>
      <c r="L110" s="100"/>
    </row>
    <row r="111" spans="1:12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37">
        <v>65295</v>
      </c>
      <c r="H111" s="83"/>
      <c r="I111" s="80"/>
      <c r="K111" s="80"/>
      <c r="L111" s="100"/>
    </row>
    <row r="112" spans="1:12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37">
        <v>877074</v>
      </c>
      <c r="H112" s="83"/>
      <c r="I112" s="80"/>
      <c r="K112" s="80"/>
      <c r="L112" s="100"/>
    </row>
    <row r="113" spans="1:12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37">
        <v>1375304</v>
      </c>
      <c r="H113" s="83"/>
      <c r="I113" s="80"/>
      <c r="K113" s="80"/>
      <c r="L113" s="100"/>
    </row>
    <row r="114" spans="1:12" ht="13.5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37">
        <f>112509-1</f>
        <v>112508</v>
      </c>
      <c r="H114" s="83"/>
      <c r="I114" s="80"/>
      <c r="K114" s="80"/>
      <c r="L114" s="100"/>
    </row>
    <row r="115" spans="1:12" ht="13.5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37">
        <f>281310+3</f>
        <v>281313</v>
      </c>
      <c r="H115" s="83"/>
      <c r="I115" s="80"/>
      <c r="K115" s="80"/>
      <c r="L115" s="100"/>
    </row>
    <row r="116" spans="1:12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525675</v>
      </c>
      <c r="H116" s="191"/>
      <c r="I116" s="80"/>
      <c r="K116" s="80"/>
      <c r="L116" s="100"/>
    </row>
    <row r="117" spans="1:12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0</v>
      </c>
      <c r="H117" s="41"/>
      <c r="I117" s="80"/>
      <c r="K117" s="80"/>
      <c r="L117" s="100"/>
    </row>
    <row r="118" spans="1:12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37">
        <v>0</v>
      </c>
      <c r="H118" s="83"/>
      <c r="I118" s="80"/>
      <c r="K118" s="80"/>
      <c r="L118" s="100"/>
    </row>
    <row r="119" spans="1:12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37">
        <v>5084</v>
      </c>
      <c r="H119" s="83"/>
      <c r="I119" s="80"/>
      <c r="K119" s="80"/>
      <c r="L119" s="100"/>
    </row>
    <row r="120" spans="1:12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83"/>
      <c r="G120" s="83">
        <f>IF((G116+G118-G117-G119)&gt;0,(G116+G118-G117-G119),0)</f>
        <v>520591</v>
      </c>
      <c r="H120" s="83"/>
      <c r="I120" s="80"/>
      <c r="K120" s="80"/>
      <c r="L120" s="100"/>
    </row>
    <row r="121" spans="1:12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83"/>
      <c r="G121" s="83">
        <f>IF((G116+G118-G117-G119)&lt;0,-(G116+G118-G117-G119),0)</f>
        <v>0</v>
      </c>
      <c r="H121" s="83"/>
      <c r="I121" s="80"/>
      <c r="K121" s="80"/>
      <c r="L121" s="100"/>
    </row>
    <row r="122" spans="1:12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40"/>
      <c r="H122" s="189"/>
      <c r="I122" s="80"/>
      <c r="K122" s="80"/>
      <c r="L122" s="100"/>
    </row>
    <row r="123" spans="1:12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40">
        <v>0</v>
      </c>
      <c r="H123" s="189"/>
      <c r="I123" s="80"/>
      <c r="K123" s="80"/>
      <c r="L123" s="100"/>
    </row>
    <row r="124" spans="1:12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40">
        <v>42585</v>
      </c>
      <c r="H124" s="189"/>
      <c r="I124" s="80"/>
      <c r="K124" s="80"/>
      <c r="L124" s="100"/>
    </row>
    <row r="125" spans="1:12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40">
        <v>0</v>
      </c>
      <c r="H125" s="189"/>
      <c r="I125" s="80"/>
      <c r="K125" s="80"/>
      <c r="L125" s="100"/>
    </row>
    <row r="126" spans="1:12" ht="13.5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90">
        <f>IF((G120-G121-G123+G124-G125)&gt;0,G120-G121-G123+G124-G125,"0")</f>
        <v>563176</v>
      </c>
      <c r="H126" s="191"/>
      <c r="I126" s="80"/>
      <c r="K126" s="80"/>
      <c r="L126" s="100"/>
    </row>
    <row r="127" spans="1:12" ht="13.5">
      <c r="A127" s="29"/>
      <c r="B127" s="27"/>
      <c r="C127" s="27"/>
      <c r="D127" s="53" t="s">
        <v>272</v>
      </c>
      <c r="E127" s="29" t="s">
        <v>284</v>
      </c>
      <c r="F127" s="30"/>
      <c r="G127" s="31"/>
      <c r="H127" s="41"/>
      <c r="I127" s="80"/>
      <c r="K127" s="80"/>
      <c r="L127" s="100"/>
    </row>
    <row r="128" spans="1:12" ht="13.5">
      <c r="A128" s="29"/>
      <c r="B128" s="27"/>
      <c r="C128" s="27"/>
      <c r="D128" s="53" t="s">
        <v>273</v>
      </c>
      <c r="E128" s="29" t="s">
        <v>285</v>
      </c>
      <c r="F128" s="30"/>
      <c r="G128" s="31"/>
      <c r="H128" s="41"/>
      <c r="I128" s="80"/>
      <c r="K128" s="80"/>
      <c r="L128" s="100"/>
    </row>
    <row r="129" spans="1:13" ht="13.5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 t="str">
        <f>IF((G120-G121-G123+G124-G125)&lt;0,-(G120-G121-G123+G124-G125),"0")</f>
        <v>0</v>
      </c>
      <c r="H129" s="191"/>
      <c r="I129" s="80"/>
      <c r="K129" s="80"/>
      <c r="L129" s="100"/>
      <c r="M129" s="32"/>
    </row>
    <row r="130" spans="1:13" ht="13.5">
      <c r="A130" s="29"/>
      <c r="B130" s="27"/>
      <c r="C130" s="27"/>
      <c r="D130" s="39" t="s">
        <v>274</v>
      </c>
      <c r="E130" s="29" t="s">
        <v>287</v>
      </c>
      <c r="F130" s="30"/>
      <c r="G130" s="40">
        <v>0</v>
      </c>
      <c r="H130" s="189"/>
      <c r="I130" s="80"/>
      <c r="K130" s="80"/>
      <c r="L130" s="100"/>
    </row>
    <row r="131" spans="1:13" ht="13.5">
      <c r="A131" s="29"/>
      <c r="B131" s="27"/>
      <c r="C131" s="27"/>
      <c r="D131" s="39" t="s">
        <v>275</v>
      </c>
      <c r="E131" s="29" t="s">
        <v>288</v>
      </c>
      <c r="F131" s="30"/>
      <c r="G131" s="40">
        <v>0</v>
      </c>
      <c r="H131" s="189"/>
      <c r="I131" s="80"/>
      <c r="K131" s="80"/>
      <c r="L131" s="100"/>
    </row>
    <row r="132" spans="1:13" ht="13.5">
      <c r="A132" s="29"/>
      <c r="B132" s="27" t="s">
        <v>93</v>
      </c>
      <c r="C132" s="27"/>
      <c r="D132" s="28" t="s">
        <v>94</v>
      </c>
      <c r="E132" s="29"/>
      <c r="F132" s="30"/>
      <c r="G132" s="40">
        <v>0</v>
      </c>
      <c r="H132" s="189"/>
      <c r="I132" s="80"/>
      <c r="K132" s="80"/>
      <c r="L132" s="100"/>
    </row>
    <row r="133" spans="1:13" ht="13.5">
      <c r="A133" s="29"/>
      <c r="B133" s="27"/>
      <c r="C133" s="27"/>
      <c r="D133" s="39" t="s">
        <v>276</v>
      </c>
      <c r="E133" s="29" t="s">
        <v>289</v>
      </c>
      <c r="F133" s="30"/>
      <c r="G133" s="40">
        <v>0</v>
      </c>
      <c r="H133" s="189"/>
      <c r="I133" s="80"/>
      <c r="K133" s="80"/>
      <c r="L133" s="100"/>
    </row>
    <row r="134" spans="1:13" ht="25.5">
      <c r="A134" s="29"/>
      <c r="B134" s="27"/>
      <c r="C134" s="27"/>
      <c r="D134" s="39" t="s">
        <v>277</v>
      </c>
      <c r="E134" s="29" t="s">
        <v>290</v>
      </c>
      <c r="F134" s="30"/>
      <c r="G134" s="40">
        <v>0</v>
      </c>
      <c r="H134" s="189"/>
      <c r="I134" s="80"/>
      <c r="K134" s="80"/>
      <c r="L134" s="100"/>
    </row>
    <row r="135" spans="1:13" ht="13.5" customHeight="1">
      <c r="H135" s="92"/>
      <c r="K135" s="32"/>
    </row>
    <row r="136" spans="1:13">
      <c r="K136" s="32"/>
    </row>
    <row r="137" spans="1:13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K137" s="32"/>
    </row>
    <row r="138" spans="1:13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K138" s="32"/>
    </row>
    <row r="139" spans="1:13">
      <c r="A139" s="1"/>
      <c r="B139" s="2"/>
      <c r="C139" s="58"/>
      <c r="D139" s="59"/>
      <c r="E139" s="60"/>
      <c r="F139" s="60"/>
      <c r="G139" s="61"/>
      <c r="H139" s="61"/>
      <c r="K139" s="32"/>
    </row>
    <row r="140" spans="1:13">
      <c r="A140" s="62"/>
      <c r="B140" s="63"/>
      <c r="C140" s="64"/>
      <c r="D140" s="64"/>
      <c r="E140" s="64"/>
      <c r="F140" s="64"/>
      <c r="G140" s="65"/>
      <c r="H140" s="65"/>
      <c r="K140" s="32"/>
    </row>
    <row r="141" spans="1:13">
      <c r="A141" s="1"/>
      <c r="B141" s="2"/>
      <c r="C141" s="58"/>
      <c r="D141" s="59"/>
      <c r="E141" s="60"/>
      <c r="F141" s="60"/>
      <c r="G141" s="66"/>
      <c r="H141" s="66"/>
      <c r="K141" s="32"/>
    </row>
    <row r="142" spans="1:13">
      <c r="A142" s="1"/>
      <c r="B142" s="2"/>
      <c r="C142" s="58"/>
      <c r="D142" s="59"/>
      <c r="E142" s="60"/>
      <c r="F142" s="60"/>
      <c r="G142" s="61"/>
      <c r="H142" s="61"/>
      <c r="K142" s="32"/>
    </row>
    <row r="143" spans="1:13">
      <c r="A143" s="1"/>
      <c r="B143" s="2"/>
      <c r="C143" s="58"/>
      <c r="D143" s="59"/>
      <c r="E143" s="60"/>
      <c r="F143" s="60"/>
      <c r="G143" s="61"/>
      <c r="H143" s="61"/>
      <c r="K143" s="32"/>
    </row>
    <row r="144" spans="1:13">
      <c r="A144" s="1"/>
      <c r="B144" s="2"/>
      <c r="C144" s="58"/>
      <c r="D144" s="59"/>
      <c r="E144" s="60"/>
      <c r="F144" s="60"/>
      <c r="G144" s="61"/>
      <c r="H144" s="61"/>
      <c r="K144" s="32"/>
    </row>
    <row r="145" spans="1:11">
      <c r="A145" s="1"/>
      <c r="B145" s="2"/>
      <c r="C145" s="58"/>
      <c r="D145" s="59"/>
      <c r="E145" s="60"/>
      <c r="F145" s="60"/>
      <c r="G145" s="61"/>
      <c r="H145" s="61"/>
      <c r="K145" s="32"/>
    </row>
    <row r="146" spans="1:11">
      <c r="A146" s="1"/>
      <c r="B146" s="2"/>
      <c r="C146" s="58"/>
      <c r="D146" s="59"/>
      <c r="E146" s="60"/>
      <c r="F146" s="60"/>
      <c r="G146" s="61"/>
      <c r="H146" s="61"/>
      <c r="K146" s="32"/>
    </row>
    <row r="147" spans="1:11">
      <c r="A147" s="1"/>
      <c r="B147" s="2"/>
      <c r="C147" s="58"/>
      <c r="D147" s="59"/>
      <c r="E147" s="60"/>
      <c r="F147" s="60"/>
      <c r="G147" s="61"/>
      <c r="H147" s="61"/>
      <c r="K147" s="32"/>
    </row>
    <row r="148" spans="1:11">
      <c r="A148" s="1"/>
      <c r="B148" s="2"/>
      <c r="C148" s="58"/>
      <c r="D148" s="59"/>
      <c r="E148" s="60"/>
      <c r="F148" s="60"/>
      <c r="G148" s="67"/>
      <c r="H148" s="61"/>
      <c r="K148" s="32"/>
    </row>
    <row r="149" spans="1:11">
      <c r="A149" s="1"/>
      <c r="B149" s="2"/>
      <c r="C149" s="58"/>
      <c r="D149" s="59"/>
      <c r="E149" s="60"/>
      <c r="F149" s="60"/>
      <c r="G149" s="61"/>
      <c r="H149" s="61"/>
      <c r="K149" s="32"/>
    </row>
    <row r="150" spans="1:11">
      <c r="A150" s="1"/>
      <c r="B150" s="2"/>
      <c r="C150" s="58"/>
      <c r="D150" s="59"/>
      <c r="E150" s="60"/>
      <c r="F150" s="60"/>
      <c r="G150" s="61"/>
      <c r="H150" s="61"/>
      <c r="K150" s="32"/>
    </row>
    <row r="151" spans="1:11">
      <c r="A151" s="1"/>
      <c r="B151" s="2"/>
      <c r="C151" s="58"/>
      <c r="D151" s="59"/>
      <c r="E151" s="60"/>
      <c r="F151" s="60"/>
      <c r="G151" s="61"/>
      <c r="H151" s="61"/>
      <c r="K151" s="32"/>
    </row>
    <row r="152" spans="1:11">
      <c r="A152" s="1"/>
      <c r="B152" s="2"/>
      <c r="C152" s="58"/>
      <c r="D152" s="59"/>
      <c r="E152" s="60"/>
      <c r="F152" s="60"/>
      <c r="G152" s="61"/>
      <c r="H152" s="61"/>
      <c r="K152" s="32"/>
    </row>
    <row r="153" spans="1:11">
      <c r="A153" s="1"/>
      <c r="B153" s="2"/>
      <c r="C153" s="58"/>
      <c r="D153" s="59"/>
      <c r="E153" s="60"/>
      <c r="F153" s="60"/>
      <c r="G153" s="61"/>
      <c r="H153" s="61"/>
      <c r="K153" s="32"/>
    </row>
    <row r="154" spans="1:11">
      <c r="A154" s="1"/>
      <c r="B154" s="2"/>
      <c r="C154" s="58"/>
      <c r="D154" s="59"/>
      <c r="E154" s="60"/>
      <c r="F154" s="60"/>
      <c r="G154" s="61"/>
      <c r="H154" s="61"/>
      <c r="K154" s="32"/>
    </row>
    <row r="155" spans="1:11">
      <c r="A155" s="1"/>
      <c r="B155" s="2"/>
      <c r="C155" s="58"/>
      <c r="D155" s="59"/>
      <c r="E155" s="60"/>
      <c r="F155" s="60"/>
      <c r="G155" s="61"/>
      <c r="H155" s="61"/>
      <c r="K155" s="32"/>
    </row>
    <row r="156" spans="1:11">
      <c r="A156" s="1"/>
      <c r="B156" s="2"/>
      <c r="C156" s="58"/>
      <c r="D156" s="59"/>
      <c r="E156" s="60"/>
      <c r="F156" s="60"/>
      <c r="G156" s="61"/>
      <c r="H156" s="61"/>
      <c r="K156" s="32"/>
    </row>
    <row r="157" spans="1:11">
      <c r="A157" s="1"/>
      <c r="B157" s="2"/>
      <c r="C157" s="58"/>
      <c r="D157" s="59"/>
      <c r="E157" s="60"/>
      <c r="F157" s="60"/>
      <c r="G157" s="61"/>
      <c r="H157" s="61"/>
      <c r="K157" s="32"/>
    </row>
    <row r="158" spans="1:11">
      <c r="A158" s="1"/>
      <c r="B158" s="2"/>
      <c r="C158" s="58"/>
      <c r="D158" s="59"/>
      <c r="E158" s="60"/>
      <c r="F158" s="60"/>
      <c r="G158" s="61"/>
      <c r="H158" s="61"/>
      <c r="K158" s="32"/>
    </row>
    <row r="159" spans="1:11">
      <c r="A159" s="1"/>
      <c r="B159" s="2"/>
      <c r="C159" s="58"/>
      <c r="D159" s="59"/>
      <c r="E159" s="60"/>
      <c r="F159" s="60"/>
      <c r="G159" s="61"/>
      <c r="H159" s="61"/>
      <c r="K159" s="32"/>
    </row>
    <row r="160" spans="1:11">
      <c r="A160" s="1"/>
      <c r="B160" s="2"/>
      <c r="C160" s="58"/>
      <c r="D160" s="59"/>
      <c r="E160" s="60"/>
      <c r="F160" s="60"/>
      <c r="G160" s="61"/>
      <c r="H160" s="61"/>
      <c r="K160" s="32"/>
    </row>
    <row r="161" spans="1:11">
      <c r="A161" s="1"/>
      <c r="B161" s="2"/>
      <c r="C161" s="58"/>
      <c r="D161" s="59"/>
      <c r="E161" s="60"/>
      <c r="F161" s="60"/>
      <c r="G161" s="61"/>
      <c r="H161" s="61"/>
      <c r="K161" s="32"/>
    </row>
    <row r="162" spans="1:11">
      <c r="A162" s="1"/>
      <c r="B162" s="2"/>
      <c r="C162" s="58"/>
      <c r="D162" s="59"/>
      <c r="E162" s="60"/>
      <c r="F162" s="60"/>
      <c r="G162" s="61"/>
      <c r="H162" s="61"/>
      <c r="K162" s="32"/>
    </row>
    <row r="163" spans="1:11">
      <c r="A163" s="1"/>
      <c r="B163" s="2"/>
      <c r="C163" s="58"/>
      <c r="D163" s="59"/>
      <c r="E163" s="60"/>
      <c r="F163" s="60"/>
      <c r="G163" s="61"/>
      <c r="H163" s="61"/>
      <c r="K163" s="32"/>
    </row>
    <row r="164" spans="1:11">
      <c r="A164" s="1"/>
      <c r="B164" s="2"/>
      <c r="C164" s="58"/>
      <c r="D164" s="59"/>
      <c r="E164" s="60"/>
      <c r="F164" s="60"/>
      <c r="G164" s="61"/>
      <c r="H164" s="61"/>
      <c r="K164" s="32"/>
    </row>
    <row r="165" spans="1:11">
      <c r="A165" s="1"/>
      <c r="B165" s="2"/>
      <c r="C165" s="58"/>
      <c r="D165" s="59"/>
      <c r="E165" s="60"/>
      <c r="F165" s="60"/>
      <c r="G165" s="61"/>
      <c r="H165" s="61"/>
      <c r="K165" s="32"/>
    </row>
    <row r="166" spans="1:11">
      <c r="A166" s="1"/>
      <c r="B166" s="2"/>
      <c r="C166" s="3"/>
      <c r="D166" s="68"/>
      <c r="E166" s="4"/>
      <c r="F166" s="4"/>
      <c r="K166" s="32"/>
    </row>
    <row r="167" spans="1:11">
      <c r="A167" s="1"/>
      <c r="B167" s="2"/>
      <c r="C167" s="3"/>
      <c r="D167" s="68"/>
      <c r="E167" s="4"/>
      <c r="F167" s="4"/>
      <c r="K167" s="32"/>
    </row>
    <row r="168" spans="1:11">
      <c r="A168" s="1"/>
      <c r="B168" s="2"/>
      <c r="C168" s="3"/>
      <c r="D168" s="68"/>
      <c r="E168" s="4"/>
      <c r="F168" s="4"/>
      <c r="K168" s="32"/>
    </row>
    <row r="169" spans="1:11">
      <c r="A169" s="1"/>
      <c r="B169" s="2"/>
      <c r="C169" s="3"/>
      <c r="D169" s="68"/>
      <c r="E169" s="4"/>
      <c r="F169" s="4"/>
      <c r="K169" s="32"/>
    </row>
    <row r="170" spans="1:11">
      <c r="A170" s="1"/>
      <c r="B170" s="2"/>
      <c r="C170" s="3"/>
      <c r="D170" s="68"/>
      <c r="E170" s="4"/>
      <c r="F170" s="4"/>
      <c r="K170" s="32"/>
    </row>
    <row r="171" spans="1:11">
      <c r="A171" s="1"/>
      <c r="B171" s="2"/>
      <c r="C171" s="3"/>
      <c r="D171" s="68"/>
      <c r="E171" s="4"/>
      <c r="F171" s="4"/>
      <c r="K171" s="32"/>
    </row>
    <row r="172" spans="1:11">
      <c r="A172" s="1"/>
      <c r="B172" s="2"/>
      <c r="C172" s="3"/>
      <c r="D172" s="68"/>
      <c r="E172" s="4"/>
      <c r="F172" s="4"/>
      <c r="K172" s="32"/>
    </row>
    <row r="173" spans="1:11">
      <c r="A173" s="1"/>
      <c r="B173" s="2"/>
      <c r="C173" s="3"/>
      <c r="D173" s="68"/>
      <c r="E173" s="4"/>
      <c r="F173" s="4"/>
      <c r="K173" s="32"/>
    </row>
    <row r="174" spans="1:11">
      <c r="A174" s="1"/>
      <c r="B174" s="2"/>
      <c r="C174" s="3"/>
      <c r="D174" s="68"/>
      <c r="E174" s="4"/>
      <c r="F174" s="4"/>
      <c r="K174" s="32"/>
    </row>
    <row r="175" spans="1:11">
      <c r="A175" s="1"/>
      <c r="B175" s="2"/>
      <c r="C175" s="3"/>
      <c r="D175" s="68"/>
      <c r="E175" s="4"/>
      <c r="F175" s="4"/>
      <c r="K175" s="32"/>
    </row>
    <row r="176" spans="1:11">
      <c r="A176" s="1"/>
      <c r="B176" s="2"/>
      <c r="C176" s="3"/>
      <c r="D176" s="68"/>
      <c r="E176" s="4"/>
      <c r="F176" s="4"/>
      <c r="K176" s="32"/>
    </row>
    <row r="177" spans="1:11">
      <c r="A177" s="1"/>
      <c r="B177" s="2"/>
      <c r="C177" s="3"/>
      <c r="D177" s="68"/>
      <c r="E177" s="4"/>
      <c r="F177" s="4"/>
      <c r="K177" s="32"/>
    </row>
    <row r="178" spans="1:11">
      <c r="A178" s="1"/>
      <c r="B178" s="2"/>
      <c r="C178" s="3"/>
      <c r="D178" s="68"/>
      <c r="E178" s="4"/>
      <c r="F178" s="4"/>
      <c r="K178" s="32"/>
    </row>
    <row r="179" spans="1:11">
      <c r="A179" s="1"/>
      <c r="B179" s="2"/>
      <c r="C179" s="3"/>
      <c r="D179" s="68"/>
      <c r="E179" s="4"/>
      <c r="F179" s="4"/>
      <c r="K179" s="32"/>
    </row>
    <row r="180" spans="1:11">
      <c r="A180" s="1"/>
      <c r="B180" s="2"/>
      <c r="C180" s="3"/>
      <c r="D180" s="68"/>
      <c r="E180" s="4"/>
      <c r="F180" s="4"/>
      <c r="K180" s="32"/>
    </row>
    <row r="181" spans="1:11">
      <c r="A181" s="1"/>
      <c r="B181" s="2"/>
      <c r="C181" s="3"/>
      <c r="D181" s="68"/>
      <c r="E181" s="4"/>
      <c r="F181" s="4"/>
      <c r="K181" s="32"/>
    </row>
    <row r="182" spans="1:11">
      <c r="A182" s="1"/>
      <c r="B182" s="2"/>
      <c r="C182" s="3"/>
      <c r="D182" s="68"/>
      <c r="E182" s="4"/>
      <c r="F182" s="4"/>
      <c r="K182" s="32"/>
    </row>
    <row r="183" spans="1:11">
      <c r="A183" s="1"/>
      <c r="B183" s="2"/>
      <c r="C183" s="3"/>
      <c r="D183" s="68"/>
      <c r="E183" s="4"/>
      <c r="F183" s="4"/>
      <c r="K183" s="32"/>
    </row>
    <row r="184" spans="1:11">
      <c r="A184" s="1"/>
      <c r="B184" s="2"/>
      <c r="C184" s="3"/>
      <c r="D184" s="68"/>
      <c r="E184" s="4"/>
      <c r="F184" s="4"/>
      <c r="K184" s="32"/>
    </row>
    <row r="185" spans="1:11">
      <c r="A185" s="1"/>
      <c r="B185" s="2"/>
      <c r="C185" s="3"/>
      <c r="D185" s="68"/>
      <c r="E185" s="4"/>
      <c r="F185" s="4"/>
      <c r="K185" s="32"/>
    </row>
    <row r="186" spans="1:11">
      <c r="A186" s="1"/>
      <c r="B186" s="2"/>
      <c r="C186" s="3"/>
      <c r="D186" s="68"/>
      <c r="E186" s="4"/>
      <c r="F186" s="4"/>
      <c r="K186" s="32"/>
    </row>
    <row r="187" spans="1:11">
      <c r="A187" s="1"/>
      <c r="B187" s="2"/>
      <c r="C187" s="3"/>
      <c r="D187" s="68"/>
      <c r="E187" s="4"/>
      <c r="F187" s="4"/>
      <c r="K187" s="32"/>
    </row>
    <row r="188" spans="1:11">
      <c r="A188" s="1"/>
      <c r="B188" s="2"/>
      <c r="C188" s="3"/>
      <c r="D188" s="68"/>
      <c r="E188" s="4"/>
      <c r="F188" s="4"/>
    </row>
    <row r="189" spans="1:11">
      <c r="A189" s="1"/>
      <c r="B189" s="2"/>
      <c r="C189" s="3"/>
      <c r="D189" s="68"/>
      <c r="E189" s="4"/>
      <c r="F189" s="4"/>
    </row>
    <row r="190" spans="1:11">
      <c r="A190" s="1"/>
      <c r="B190" s="2"/>
      <c r="C190" s="3"/>
      <c r="D190" s="68"/>
      <c r="E190" s="4"/>
      <c r="F190" s="4"/>
    </row>
    <row r="191" spans="1:11">
      <c r="A191" s="1"/>
      <c r="B191" s="2"/>
      <c r="C191" s="3"/>
      <c r="D191" s="68"/>
      <c r="E191" s="4"/>
      <c r="F191" s="4"/>
    </row>
    <row r="192" spans="1:11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4">
    <mergeCell ref="K21:L21"/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  <mergeCell ref="A138:C138"/>
    <mergeCell ref="D138:F138"/>
    <mergeCell ref="G138:H138"/>
    <mergeCell ref="G17:H17"/>
    <mergeCell ref="B20:D20"/>
    <mergeCell ref="A137:C137"/>
    <mergeCell ref="D137:F137"/>
    <mergeCell ref="G137:H137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21505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27"/>
  <sheetViews>
    <sheetView tabSelected="1" workbookViewId="0">
      <selection activeCell="H92" sqref="H92"/>
    </sheetView>
  </sheetViews>
  <sheetFormatPr defaultRowHeight="15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9" width="11.85546875" style="97" customWidth="1"/>
    <col min="10" max="10" width="11.85546875" style="97" hidden="1" customWidth="1"/>
    <col min="11" max="11" width="8.42578125" style="194" hidden="1" customWidth="1"/>
    <col min="12" max="12" width="13.140625" style="5" hidden="1" customWidth="1"/>
    <col min="13" max="13" width="9.140625" style="5" hidden="1" customWidth="1"/>
    <col min="14" max="14" width="9.28515625" style="6" hidden="1" customWidth="1"/>
    <col min="15" max="15" width="0" style="5" hidden="1" customWidth="1"/>
    <col min="16" max="16" width="10.5703125" style="113" hidden="1" customWidth="1"/>
    <col min="17" max="17" width="11.7109375" style="97" hidden="1" customWidth="1"/>
    <col min="18" max="18" width="0" style="5" hidden="1" customWidth="1"/>
    <col min="19" max="19" width="0" style="97" hidden="1" customWidth="1"/>
    <col min="20" max="20" width="9.140625" style="97"/>
    <col min="21" max="16384" width="9.140625" style="5"/>
  </cols>
  <sheetData>
    <row r="1" spans="1:20" ht="16.5" customHeight="1">
      <c r="A1" s="1"/>
      <c r="B1" s="2"/>
      <c r="C1" s="3"/>
      <c r="D1" s="4"/>
      <c r="E1" s="4"/>
      <c r="F1" s="4"/>
    </row>
    <row r="2" spans="1:20">
      <c r="A2" s="319"/>
      <c r="B2" s="319"/>
      <c r="C2" s="319"/>
      <c r="D2" s="319"/>
      <c r="E2" s="4"/>
      <c r="F2" s="4"/>
    </row>
    <row r="3" spans="1:20" ht="13.5" customHeight="1">
      <c r="A3" s="319"/>
      <c r="B3" s="319"/>
      <c r="C3" s="319"/>
      <c r="D3" s="319"/>
      <c r="E3" s="4"/>
      <c r="F3" s="4"/>
    </row>
    <row r="4" spans="1:20" ht="15" customHeight="1">
      <c r="A4" s="319"/>
      <c r="B4" s="319"/>
      <c r="C4" s="319"/>
      <c r="D4" s="319"/>
      <c r="E4" s="4"/>
      <c r="F4" s="4"/>
    </row>
    <row r="5" spans="1:20" ht="16.5" customHeight="1">
      <c r="A5" s="319"/>
      <c r="B5" s="319"/>
      <c r="C5" s="319"/>
      <c r="D5" s="319"/>
      <c r="E5" s="4"/>
      <c r="F5" s="4"/>
    </row>
    <row r="6" spans="1:20">
      <c r="A6" s="319"/>
      <c r="B6" s="319"/>
      <c r="C6" s="319"/>
      <c r="D6" s="319"/>
      <c r="E6" s="4"/>
      <c r="F6" s="4"/>
    </row>
    <row r="7" spans="1:20" ht="13.5" customHeight="1">
      <c r="A7" s="1"/>
      <c r="B7" s="2"/>
      <c r="C7" s="3"/>
      <c r="D7" s="4"/>
      <c r="E7" s="4"/>
      <c r="F7" s="4"/>
    </row>
    <row r="8" spans="1:20" ht="13.5" customHeight="1">
      <c r="A8" s="1"/>
      <c r="B8" s="2"/>
      <c r="C8" s="3"/>
      <c r="D8" s="4"/>
      <c r="E8" s="4"/>
      <c r="F8" s="4"/>
    </row>
    <row r="9" spans="1:20" ht="13.5" customHeight="1">
      <c r="A9" s="1"/>
      <c r="B9" s="2"/>
      <c r="C9" s="3"/>
      <c r="D9" s="4"/>
      <c r="E9" s="4"/>
      <c r="F9" s="4"/>
    </row>
    <row r="10" spans="1:20">
      <c r="A10" s="1"/>
      <c r="B10" s="2"/>
      <c r="C10" s="3"/>
      <c r="D10" s="4"/>
      <c r="E10" s="4"/>
      <c r="F10" s="4"/>
    </row>
    <row r="11" spans="1:20" s="7" customFormat="1" ht="13.5" customHeight="1">
      <c r="A11" s="318"/>
      <c r="B11" s="318"/>
      <c r="C11" s="318"/>
      <c r="D11" s="318"/>
      <c r="E11" s="318"/>
      <c r="F11" s="318"/>
      <c r="G11" s="318"/>
      <c r="I11" s="98"/>
      <c r="J11" s="98"/>
      <c r="K11" s="195"/>
      <c r="N11" s="8"/>
      <c r="P11" s="114"/>
      <c r="Q11" s="98"/>
      <c r="S11" s="98"/>
      <c r="T11" s="98"/>
    </row>
    <row r="12" spans="1:20" s="7" customFormat="1" ht="13.5" customHeight="1">
      <c r="A12" s="318"/>
      <c r="B12" s="318"/>
      <c r="C12" s="318"/>
      <c r="D12" s="318"/>
      <c r="E12" s="4"/>
      <c r="F12" s="4"/>
      <c r="I12" s="98"/>
      <c r="J12" s="98"/>
      <c r="K12" s="195"/>
      <c r="N12" s="8"/>
      <c r="P12" s="114"/>
      <c r="Q12" s="98"/>
      <c r="S12" s="98"/>
      <c r="T12" s="98"/>
    </row>
    <row r="13" spans="1:20" s="7" customFormat="1" ht="24" customHeight="1">
      <c r="A13" s="1"/>
      <c r="B13" s="2"/>
      <c r="C13" s="3"/>
      <c r="D13" s="4"/>
      <c r="E13" s="4"/>
      <c r="F13" s="4"/>
      <c r="H13" s="9"/>
      <c r="I13" s="199"/>
      <c r="J13" s="199"/>
      <c r="K13" s="195"/>
      <c r="N13" s="8"/>
      <c r="P13" s="114"/>
      <c r="Q13" s="98"/>
      <c r="S13" s="98"/>
      <c r="T13" s="98"/>
    </row>
    <row r="14" spans="1:20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I14" s="200"/>
      <c r="J14" s="200"/>
      <c r="K14" s="195"/>
      <c r="N14" s="8"/>
      <c r="P14" s="114"/>
      <c r="Q14" s="98"/>
      <c r="S14" s="98"/>
      <c r="T14" s="98"/>
    </row>
    <row r="15" spans="1:20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I15" s="201"/>
      <c r="J15" s="201"/>
      <c r="K15" s="195"/>
      <c r="N15" s="8"/>
      <c r="P15" s="114"/>
      <c r="Q15" s="98"/>
      <c r="S15" s="98"/>
      <c r="T15" s="98"/>
    </row>
    <row r="16" spans="1:20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I16" s="202"/>
      <c r="J16" s="202"/>
      <c r="K16" s="195"/>
      <c r="N16" s="8"/>
      <c r="P16" s="114"/>
      <c r="Q16" s="98"/>
      <c r="S16" s="98"/>
      <c r="T16" s="98"/>
    </row>
    <row r="17" spans="1:20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I17" s="203"/>
      <c r="J17" s="203"/>
      <c r="K17" s="195"/>
      <c r="N17" s="8"/>
      <c r="P17" s="114"/>
      <c r="Q17" s="98"/>
      <c r="S17" s="98"/>
      <c r="T17" s="98"/>
    </row>
    <row r="18" spans="1:20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I18" s="204"/>
      <c r="J18" s="204"/>
      <c r="K18" s="195"/>
      <c r="N18" s="8"/>
      <c r="P18" s="114"/>
      <c r="Q18" s="98"/>
      <c r="S18" s="98"/>
      <c r="T18" s="98"/>
    </row>
    <row r="19" spans="1:20" s="7" customFormat="1" ht="37.5" customHeight="1">
      <c r="A19" s="336"/>
      <c r="B19" s="336"/>
      <c r="C19" s="336"/>
      <c r="D19" s="336"/>
      <c r="E19" s="337"/>
      <c r="F19" s="338"/>
      <c r="G19" s="10" t="s">
        <v>4</v>
      </c>
      <c r="H19" s="224" t="s">
        <v>5</v>
      </c>
      <c r="I19" s="205"/>
      <c r="J19" s="205"/>
      <c r="K19" s="195"/>
      <c r="N19" s="8"/>
      <c r="P19" s="114"/>
      <c r="Q19" s="98"/>
      <c r="S19" s="98"/>
      <c r="T19" s="98"/>
    </row>
    <row r="20" spans="1:20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15">
        <v>5</v>
      </c>
      <c r="H20" s="225">
        <v>6</v>
      </c>
      <c r="I20" s="206"/>
      <c r="J20" s="206">
        <v>2015</v>
      </c>
      <c r="K20" s="195">
        <v>2014</v>
      </c>
      <c r="N20" s="8"/>
      <c r="P20" s="114"/>
      <c r="Q20" s="98"/>
      <c r="S20" s="98"/>
      <c r="T20" s="98"/>
    </row>
    <row r="21" spans="1:20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3"/>
      <c r="H21" s="23"/>
      <c r="I21" s="207"/>
      <c r="J21" s="207"/>
      <c r="K21" s="196" t="s">
        <v>334</v>
      </c>
      <c r="N21" s="25"/>
      <c r="P21" s="115" t="s">
        <v>332</v>
      </c>
      <c r="Q21" s="95" t="s">
        <v>333</v>
      </c>
      <c r="S21" s="99"/>
      <c r="T21" s="99"/>
    </row>
    <row r="22" spans="1:20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86">
        <f>G23+G30+G35+G36</f>
        <v>18274221</v>
      </c>
      <c r="H22" s="86">
        <f>H23+H30+H35+H36</f>
        <v>15595752</v>
      </c>
      <c r="I22" s="208"/>
      <c r="J22" s="208">
        <f>G22-'12. NZZ'!G22-'3. ŽO zbirno'!G22</f>
        <v>0</v>
      </c>
      <c r="K22" s="197">
        <f>H22-'12. NZZ'!H22-'3. ŽO zbirno'!H22</f>
        <v>15595752</v>
      </c>
      <c r="L22" s="33">
        <v>1001</v>
      </c>
      <c r="M22" s="86"/>
      <c r="N22" s="34">
        <f t="shared" ref="N22:N85" si="0">G22-M22</f>
        <v>18274221</v>
      </c>
      <c r="P22" s="116">
        <v>15595752</v>
      </c>
      <c r="Q22" s="100">
        <f>H22-P22</f>
        <v>0</v>
      </c>
    </row>
    <row r="23" spans="1:20" ht="25.5" customHeight="1">
      <c r="A23" s="29"/>
      <c r="B23" s="35"/>
      <c r="C23" s="35"/>
      <c r="D23" s="28" t="s">
        <v>292</v>
      </c>
      <c r="E23" s="29" t="s">
        <v>107</v>
      </c>
      <c r="F23" s="36"/>
      <c r="G23" s="87">
        <f>G24+G25-G26-G27-G28+G29</f>
        <v>17897140</v>
      </c>
      <c r="H23" s="87">
        <f>H24+H25-H26-H27-H28+H29</f>
        <v>15333649</v>
      </c>
      <c r="I23" s="208"/>
      <c r="J23" s="208">
        <f>G23-'12. NZZ'!G23-'3. ŽO zbirno'!G23</f>
        <v>0</v>
      </c>
      <c r="K23" s="197">
        <f>H23-'12. NZZ'!H23-'3. ŽO zbirno'!H23</f>
        <v>15333649</v>
      </c>
      <c r="L23" s="33">
        <v>1002</v>
      </c>
      <c r="M23" s="87"/>
      <c r="N23" s="34">
        <f t="shared" si="0"/>
        <v>17897140</v>
      </c>
      <c r="P23" s="116">
        <v>15333649</v>
      </c>
      <c r="Q23" s="100">
        <f t="shared" ref="Q23:Q86" si="1">H23-P23</f>
        <v>0</v>
      </c>
    </row>
    <row r="24" spans="1:20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88">
        <f>1306782+149</f>
        <v>1306931</v>
      </c>
      <c r="H24" s="88">
        <v>1354519</v>
      </c>
      <c r="I24" s="209"/>
      <c r="J24" s="208">
        <f>G24-'12. NZZ'!G24-'3. ŽO zbirno'!G24</f>
        <v>0</v>
      </c>
      <c r="K24" s="197">
        <f>H24-'12. NZZ'!H24-'3. ŽO zbirno'!H24</f>
        <v>1354519</v>
      </c>
      <c r="L24" s="33">
        <v>1003</v>
      </c>
      <c r="M24" s="88"/>
      <c r="N24" s="34">
        <f t="shared" si="0"/>
        <v>1306931</v>
      </c>
      <c r="P24" s="116">
        <v>1354519</v>
      </c>
      <c r="Q24" s="100">
        <f t="shared" si="1"/>
        <v>0</v>
      </c>
    </row>
    <row r="25" spans="1:20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88">
        <f>20154554-149</f>
        <v>20154405</v>
      </c>
      <c r="H25" s="88">
        <v>16197324</v>
      </c>
      <c r="I25" s="209"/>
      <c r="J25" s="208">
        <f>G25-'12. NZZ'!G25-'3. ŽO zbirno'!G25</f>
        <v>0</v>
      </c>
      <c r="K25" s="197">
        <f>H25-'12. NZZ'!H25-'3. ŽO zbirno'!H25</f>
        <v>16197324</v>
      </c>
      <c r="L25" s="33">
        <v>1004</v>
      </c>
      <c r="M25" s="88"/>
      <c r="N25" s="34">
        <f t="shared" si="0"/>
        <v>20154405</v>
      </c>
      <c r="P25" s="116">
        <v>16197324</v>
      </c>
      <c r="Q25" s="100">
        <f t="shared" si="1"/>
        <v>0</v>
      </c>
    </row>
    <row r="26" spans="1:20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88">
        <v>905007</v>
      </c>
      <c r="H26" s="88">
        <v>424725</v>
      </c>
      <c r="I26" s="209"/>
      <c r="J26" s="208">
        <f>G26-'12. NZZ'!G26-'3. ŽO zbirno'!G26</f>
        <v>0</v>
      </c>
      <c r="K26" s="197">
        <f>H26-'12. NZZ'!H26-'3. ŽO zbirno'!H26</f>
        <v>424725</v>
      </c>
      <c r="L26" s="33">
        <v>1005</v>
      </c>
      <c r="M26" s="88"/>
      <c r="N26" s="34">
        <f t="shared" si="0"/>
        <v>905007</v>
      </c>
      <c r="P26" s="116">
        <v>424725</v>
      </c>
      <c r="Q26" s="100">
        <f t="shared" si="1"/>
        <v>0</v>
      </c>
    </row>
    <row r="27" spans="1:20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88">
        <v>1436964</v>
      </c>
      <c r="H27" s="88">
        <v>951250</v>
      </c>
      <c r="I27" s="209"/>
      <c r="J27" s="208">
        <f>G27-'12. NZZ'!G27-'3. ŽO zbirno'!G27</f>
        <v>0</v>
      </c>
      <c r="K27" s="197">
        <f>H27-'12. NZZ'!H27-'3. ŽO zbirno'!H27</f>
        <v>951250</v>
      </c>
      <c r="L27" s="33">
        <v>1006</v>
      </c>
      <c r="M27" s="88"/>
      <c r="N27" s="34">
        <f t="shared" si="0"/>
        <v>1436964</v>
      </c>
      <c r="P27" s="116">
        <v>951250</v>
      </c>
      <c r="Q27" s="100">
        <f t="shared" si="1"/>
        <v>0</v>
      </c>
    </row>
    <row r="28" spans="1:20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88">
        <v>1222225</v>
      </c>
      <c r="H28" s="88">
        <v>842219</v>
      </c>
      <c r="I28" s="209"/>
      <c r="J28" s="208">
        <f>G28-'12. NZZ'!G28-'3. ŽO zbirno'!G28</f>
        <v>0</v>
      </c>
      <c r="K28" s="197">
        <f>H28-'12. NZZ'!H28-'3. ŽO zbirno'!H28</f>
        <v>842219</v>
      </c>
      <c r="L28" s="33">
        <v>1007</v>
      </c>
      <c r="M28" s="88"/>
      <c r="N28" s="34">
        <f t="shared" si="0"/>
        <v>1222225</v>
      </c>
      <c r="P28" s="116">
        <v>842219</v>
      </c>
      <c r="Q28" s="100">
        <f t="shared" si="1"/>
        <v>0</v>
      </c>
    </row>
    <row r="29" spans="1:20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88">
        <v>0</v>
      </c>
      <c r="H29" s="88">
        <v>0</v>
      </c>
      <c r="I29" s="209"/>
      <c r="J29" s="208">
        <f>G29-'12. NZZ'!G29-'3. ŽO zbirno'!G29</f>
        <v>0</v>
      </c>
      <c r="K29" s="197">
        <f>H29-'12. NZZ'!H29-'3. ŽO zbirno'!H29</f>
        <v>0</v>
      </c>
      <c r="L29" s="33">
        <v>1008</v>
      </c>
      <c r="M29" s="88"/>
      <c r="N29" s="34">
        <f t="shared" si="0"/>
        <v>0</v>
      </c>
      <c r="P29" s="116">
        <v>0</v>
      </c>
      <c r="Q29" s="100">
        <f t="shared" si="1"/>
        <v>0</v>
      </c>
    </row>
    <row r="30" spans="1:20" ht="38.25" customHeight="1">
      <c r="A30" s="29"/>
      <c r="B30" s="35"/>
      <c r="C30" s="35"/>
      <c r="D30" s="28" t="s">
        <v>293</v>
      </c>
      <c r="E30" s="29" t="s">
        <v>116</v>
      </c>
      <c r="F30" s="36"/>
      <c r="G30" s="87">
        <f>G31-G32-G33+G34</f>
        <v>0</v>
      </c>
      <c r="H30" s="87">
        <f>H31-H32-H33+H34</f>
        <v>0</v>
      </c>
      <c r="I30" s="208"/>
      <c r="J30" s="208">
        <f>G30-'12. NZZ'!G30-'3. ŽO zbirno'!G30</f>
        <v>0</v>
      </c>
      <c r="K30" s="197">
        <f>H30-'12. NZZ'!H30-'3. ŽO zbirno'!H30</f>
        <v>0</v>
      </c>
      <c r="L30" s="33">
        <v>1009</v>
      </c>
      <c r="M30" s="87"/>
      <c r="N30" s="34">
        <f t="shared" si="0"/>
        <v>0</v>
      </c>
      <c r="P30" s="116">
        <v>0</v>
      </c>
      <c r="Q30" s="100">
        <f t="shared" si="1"/>
        <v>0</v>
      </c>
    </row>
    <row r="31" spans="1:20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88">
        <v>0</v>
      </c>
      <c r="H31" s="88">
        <v>0</v>
      </c>
      <c r="I31" s="209"/>
      <c r="J31" s="208">
        <f>G31-'12. NZZ'!G31-'3. ŽO zbirno'!G31</f>
        <v>0</v>
      </c>
      <c r="K31" s="197">
        <f>H31-'12. NZZ'!H31-'3. ŽO zbirno'!H31</f>
        <v>0</v>
      </c>
      <c r="L31" s="33">
        <v>1010</v>
      </c>
      <c r="M31" s="88"/>
      <c r="N31" s="34">
        <f t="shared" si="0"/>
        <v>0</v>
      </c>
      <c r="P31" s="116">
        <v>0</v>
      </c>
      <c r="Q31" s="100">
        <f t="shared" si="1"/>
        <v>0</v>
      </c>
    </row>
    <row r="32" spans="1:20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88">
        <v>0</v>
      </c>
      <c r="H32" s="88">
        <v>0</v>
      </c>
      <c r="I32" s="209"/>
      <c r="J32" s="208">
        <f>G32-'12. NZZ'!G32-'3. ŽO zbirno'!G32</f>
        <v>0</v>
      </c>
      <c r="K32" s="197">
        <f>H32-'12. NZZ'!H32-'3. ŽO zbirno'!H32</f>
        <v>0</v>
      </c>
      <c r="L32" s="33">
        <v>1011</v>
      </c>
      <c r="M32" s="88"/>
      <c r="N32" s="34">
        <f t="shared" si="0"/>
        <v>0</v>
      </c>
      <c r="P32" s="116">
        <v>0</v>
      </c>
      <c r="Q32" s="100">
        <f t="shared" si="1"/>
        <v>0</v>
      </c>
    </row>
    <row r="33" spans="1:17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88">
        <v>0</v>
      </c>
      <c r="H33" s="88">
        <v>0</v>
      </c>
      <c r="I33" s="209"/>
      <c r="J33" s="208">
        <f>G33-'12. NZZ'!G33-'3. ŽO zbirno'!G33</f>
        <v>0</v>
      </c>
      <c r="K33" s="197">
        <f>H33-'12. NZZ'!H33-'3. ŽO zbirno'!H33</f>
        <v>0</v>
      </c>
      <c r="L33" s="33">
        <v>1012</v>
      </c>
      <c r="M33" s="88"/>
      <c r="N33" s="34">
        <f t="shared" si="0"/>
        <v>0</v>
      </c>
      <c r="P33" s="116">
        <v>0</v>
      </c>
      <c r="Q33" s="100">
        <f t="shared" si="1"/>
        <v>0</v>
      </c>
    </row>
    <row r="34" spans="1:17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88">
        <v>0</v>
      </c>
      <c r="H34" s="88">
        <v>0</v>
      </c>
      <c r="I34" s="209"/>
      <c r="J34" s="208">
        <f>G34-'12. NZZ'!G34-'3. ŽO zbirno'!G34</f>
        <v>0</v>
      </c>
      <c r="K34" s="197">
        <f>H34-'12. NZZ'!H34-'3. ŽO zbirno'!H34</f>
        <v>0</v>
      </c>
      <c r="L34" s="33">
        <v>1013</v>
      </c>
      <c r="M34" s="88"/>
      <c r="N34" s="34">
        <f t="shared" si="0"/>
        <v>0</v>
      </c>
      <c r="P34" s="116">
        <v>0</v>
      </c>
      <c r="Q34" s="100">
        <f t="shared" si="1"/>
        <v>0</v>
      </c>
    </row>
    <row r="35" spans="1:17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7">
        <v>254527</v>
      </c>
      <c r="H35" s="87">
        <v>216346</v>
      </c>
      <c r="I35" s="208"/>
      <c r="J35" s="208">
        <f>G35-'12. NZZ'!G35-'3. ŽO zbirno'!G35</f>
        <v>0</v>
      </c>
      <c r="K35" s="197">
        <f>H35-'12. NZZ'!H35-'3. ŽO zbirno'!H35</f>
        <v>216346</v>
      </c>
      <c r="L35" s="33">
        <v>1014</v>
      </c>
      <c r="M35" s="87"/>
      <c r="N35" s="34">
        <f t="shared" si="0"/>
        <v>254527</v>
      </c>
      <c r="P35" s="116">
        <v>216346</v>
      </c>
      <c r="Q35" s="100">
        <f t="shared" si="1"/>
        <v>0</v>
      </c>
    </row>
    <row r="36" spans="1:17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7">
        <v>122554</v>
      </c>
      <c r="H36" s="87">
        <v>45757</v>
      </c>
      <c r="I36" s="208"/>
      <c r="J36" s="208">
        <f>G36-'12. NZZ'!G36-'3. ŽO zbirno'!G36</f>
        <v>0</v>
      </c>
      <c r="K36" s="197">
        <f>H36-'12. NZZ'!H36-'3. ŽO zbirno'!H36</f>
        <v>45757</v>
      </c>
      <c r="L36" s="33">
        <v>1015</v>
      </c>
      <c r="M36" s="87"/>
      <c r="N36" s="34">
        <f t="shared" si="0"/>
        <v>122554</v>
      </c>
      <c r="P36" s="116">
        <v>45757</v>
      </c>
      <c r="Q36" s="100">
        <f t="shared" si="1"/>
        <v>0</v>
      </c>
    </row>
    <row r="37" spans="1:17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86">
        <f>G38+G47+G55-G56-G65+G66-G67+G68+G69</f>
        <v>10790373</v>
      </c>
      <c r="H37" s="86">
        <f>H38+H47+H55-H56-H65+H66-H67+H68+H69</f>
        <v>9885122</v>
      </c>
      <c r="I37" s="208"/>
      <c r="J37" s="208">
        <f>G37-'12. NZZ'!G37-'3. ŽO zbirno'!G37</f>
        <v>0</v>
      </c>
      <c r="K37" s="197">
        <f>H37-'12. NZZ'!H37-'3. ŽO zbirno'!H37</f>
        <v>9885122</v>
      </c>
      <c r="L37" s="33">
        <v>1016</v>
      </c>
      <c r="M37" s="86"/>
      <c r="N37" s="34">
        <f t="shared" si="0"/>
        <v>10790373</v>
      </c>
      <c r="P37" s="116">
        <v>9885122</v>
      </c>
      <c r="Q37" s="100">
        <f t="shared" si="1"/>
        <v>0</v>
      </c>
    </row>
    <row r="38" spans="1:17" ht="32.25" customHeight="1">
      <c r="A38" s="29"/>
      <c r="B38" s="35"/>
      <c r="C38" s="35"/>
      <c r="D38" s="28" t="s">
        <v>295</v>
      </c>
      <c r="E38" s="29" t="s">
        <v>128</v>
      </c>
      <c r="F38" s="36"/>
      <c r="G38" s="87">
        <f>G39+G40+G41+G42+G43+G44+G45+G46</f>
        <v>2128232</v>
      </c>
      <c r="H38" s="87">
        <f>H39+H40+H41+H42+H43+H44+H45+H46</f>
        <v>1980161</v>
      </c>
      <c r="I38" s="208"/>
      <c r="J38" s="208">
        <f>G38-'12. NZZ'!G38-'3. ŽO zbirno'!G38</f>
        <v>0</v>
      </c>
      <c r="K38" s="197">
        <f>H38-'12. NZZ'!H38-'3. ŽO zbirno'!H38</f>
        <v>1980161</v>
      </c>
      <c r="L38" s="33">
        <v>1017</v>
      </c>
      <c r="M38" s="87"/>
      <c r="N38" s="34">
        <f t="shared" si="0"/>
        <v>2128232</v>
      </c>
      <c r="P38" s="116">
        <v>1980161</v>
      </c>
      <c r="Q38" s="100">
        <f t="shared" si="1"/>
        <v>0</v>
      </c>
    </row>
    <row r="39" spans="1:17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88">
        <v>443898</v>
      </c>
      <c r="H39" s="88">
        <v>362353</v>
      </c>
      <c r="I39" s="209"/>
      <c r="J39" s="208">
        <f>G39-'12. NZZ'!G39-'3. ŽO zbirno'!G39</f>
        <v>0</v>
      </c>
      <c r="K39" s="197">
        <f>H39-'12. NZZ'!H39-'3. ŽO zbirno'!H39</f>
        <v>362353</v>
      </c>
      <c r="L39" s="33">
        <v>1018</v>
      </c>
      <c r="M39" s="88"/>
      <c r="N39" s="34">
        <f t="shared" si="0"/>
        <v>443898</v>
      </c>
      <c r="P39" s="116">
        <v>362353</v>
      </c>
      <c r="Q39" s="100">
        <f t="shared" si="1"/>
        <v>0</v>
      </c>
    </row>
    <row r="40" spans="1:17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88">
        <v>0</v>
      </c>
      <c r="H40" s="88">
        <v>0</v>
      </c>
      <c r="I40" s="209"/>
      <c r="J40" s="208">
        <f>G40-'12. NZZ'!G40-'3. ŽO zbirno'!G40</f>
        <v>0</v>
      </c>
      <c r="K40" s="197">
        <f>H40-'12. NZZ'!H40-'3. ŽO zbirno'!H40</f>
        <v>0</v>
      </c>
      <c r="L40" s="33">
        <v>1019</v>
      </c>
      <c r="M40" s="88"/>
      <c r="N40" s="34">
        <f t="shared" si="0"/>
        <v>0</v>
      </c>
      <c r="P40" s="116">
        <v>0</v>
      </c>
      <c r="Q40" s="100">
        <f t="shared" si="1"/>
        <v>0</v>
      </c>
    </row>
    <row r="41" spans="1:17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88">
        <v>375161</v>
      </c>
      <c r="H41" s="88">
        <v>298337</v>
      </c>
      <c r="I41" s="209"/>
      <c r="J41" s="208">
        <f>G41-'12. NZZ'!G41-'3. ŽO zbirno'!G41</f>
        <v>0</v>
      </c>
      <c r="K41" s="197">
        <f>H41-'12. NZZ'!H41-'3. ŽO zbirno'!H41</f>
        <v>298337</v>
      </c>
      <c r="L41" s="33">
        <v>1020</v>
      </c>
      <c r="M41" s="88"/>
      <c r="N41" s="34">
        <f t="shared" si="0"/>
        <v>375161</v>
      </c>
      <c r="P41" s="116">
        <v>298337</v>
      </c>
      <c r="Q41" s="100">
        <f t="shared" si="1"/>
        <v>0</v>
      </c>
    </row>
    <row r="42" spans="1:17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88">
        <v>637</v>
      </c>
      <c r="H42" s="88">
        <v>0</v>
      </c>
      <c r="I42" s="209"/>
      <c r="J42" s="208">
        <f>G42-'12. NZZ'!G42-'3. ŽO zbirno'!G42</f>
        <v>0</v>
      </c>
      <c r="K42" s="197">
        <f>H42-'12. NZZ'!H42-'3. ŽO zbirno'!H42</f>
        <v>0</v>
      </c>
      <c r="L42" s="33">
        <v>1021</v>
      </c>
      <c r="M42" s="88"/>
      <c r="N42" s="34">
        <f t="shared" si="0"/>
        <v>637</v>
      </c>
      <c r="P42" s="116">
        <v>0</v>
      </c>
      <c r="Q42" s="100">
        <f t="shared" si="1"/>
        <v>0</v>
      </c>
    </row>
    <row r="43" spans="1:17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88">
        <v>782166</v>
      </c>
      <c r="H43" s="88">
        <v>435687</v>
      </c>
      <c r="I43" s="209"/>
      <c r="J43" s="208">
        <f>G43-'12. NZZ'!G43-'3. ŽO zbirno'!G43</f>
        <v>0</v>
      </c>
      <c r="K43" s="197">
        <f>H43-'12. NZZ'!H43-'3. ŽO zbirno'!H43</f>
        <v>435687</v>
      </c>
      <c r="L43" s="33">
        <v>1022</v>
      </c>
      <c r="M43" s="88"/>
      <c r="N43" s="34">
        <f t="shared" si="0"/>
        <v>782166</v>
      </c>
      <c r="P43" s="116">
        <v>435687</v>
      </c>
      <c r="Q43" s="100">
        <f t="shared" si="1"/>
        <v>0</v>
      </c>
    </row>
    <row r="44" spans="1:17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88">
        <v>0</v>
      </c>
      <c r="H44" s="88">
        <v>527351</v>
      </c>
      <c r="I44" s="209"/>
      <c r="J44" s="208">
        <f>G44-'12. NZZ'!G44-'3. ŽO zbirno'!G44</f>
        <v>0</v>
      </c>
      <c r="K44" s="197">
        <f>H44-'12. NZZ'!H44-'3. ŽO zbirno'!H44</f>
        <v>527351</v>
      </c>
      <c r="L44" s="33">
        <v>1023</v>
      </c>
      <c r="M44" s="88"/>
      <c r="N44" s="34">
        <f t="shared" si="0"/>
        <v>0</v>
      </c>
      <c r="P44" s="116">
        <v>527351</v>
      </c>
      <c r="Q44" s="100">
        <f t="shared" si="1"/>
        <v>0</v>
      </c>
    </row>
    <row r="45" spans="1:17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88">
        <v>39530</v>
      </c>
      <c r="H45" s="88">
        <v>0</v>
      </c>
      <c r="I45" s="209"/>
      <c r="J45" s="208">
        <f>G45-'12. NZZ'!G45-'3. ŽO zbirno'!G45</f>
        <v>0</v>
      </c>
      <c r="K45" s="197">
        <f>H45-'12. NZZ'!H45-'3. ŽO zbirno'!H45</f>
        <v>0</v>
      </c>
      <c r="L45" s="33">
        <v>1024</v>
      </c>
      <c r="M45" s="88"/>
      <c r="N45" s="34">
        <f t="shared" si="0"/>
        <v>39530</v>
      </c>
      <c r="P45" s="116">
        <v>0</v>
      </c>
      <c r="Q45" s="100">
        <f t="shared" si="1"/>
        <v>0</v>
      </c>
    </row>
    <row r="46" spans="1:17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88">
        <v>486840</v>
      </c>
      <c r="H46" s="88">
        <v>356433</v>
      </c>
      <c r="I46" s="209"/>
      <c r="J46" s="208">
        <f>G46-'12. NZZ'!G46-'3. ŽO zbirno'!G46</f>
        <v>0</v>
      </c>
      <c r="K46" s="197">
        <f>H46-'12. NZZ'!H46-'3. ŽO zbirno'!H46</f>
        <v>356433</v>
      </c>
      <c r="L46" s="33">
        <v>1025</v>
      </c>
      <c r="M46" s="88"/>
      <c r="N46" s="34">
        <f t="shared" si="0"/>
        <v>486840</v>
      </c>
      <c r="P46" s="116">
        <v>356433</v>
      </c>
      <c r="Q46" s="100">
        <f t="shared" si="1"/>
        <v>0</v>
      </c>
    </row>
    <row r="47" spans="1:17" ht="27.75" customHeight="1">
      <c r="A47" s="29"/>
      <c r="B47" s="35"/>
      <c r="C47" s="35"/>
      <c r="D47" s="28" t="s">
        <v>296</v>
      </c>
      <c r="E47" s="29" t="s">
        <v>144</v>
      </c>
      <c r="F47" s="36"/>
      <c r="G47" s="87">
        <f>G48+G49+G50+G51+G52-G53-G54</f>
        <v>8031609</v>
      </c>
      <c r="H47" s="87">
        <f>H48+H49+H50+H51+H52-H53-H54</f>
        <v>8504313</v>
      </c>
      <c r="I47" s="208"/>
      <c r="J47" s="208">
        <f>G47-'12. NZZ'!G47-'3. ŽO zbirno'!G47</f>
        <v>0</v>
      </c>
      <c r="K47" s="197">
        <f>H47-'12. NZZ'!H47-'3. ŽO zbirno'!H47</f>
        <v>8504313</v>
      </c>
      <c r="L47" s="33">
        <v>1026</v>
      </c>
      <c r="M47" s="87"/>
      <c r="N47" s="34">
        <f t="shared" si="0"/>
        <v>8031609</v>
      </c>
      <c r="P47" s="116">
        <v>8504313</v>
      </c>
      <c r="Q47" s="100">
        <f t="shared" si="1"/>
        <v>0</v>
      </c>
    </row>
    <row r="48" spans="1:17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88">
        <v>587413</v>
      </c>
      <c r="H48" s="88">
        <v>1072233</v>
      </c>
      <c r="I48" s="209"/>
      <c r="J48" s="208">
        <f>G48-'12. NZZ'!G48-'3. ŽO zbirno'!G48</f>
        <v>0</v>
      </c>
      <c r="K48" s="197">
        <f>H48-'12. NZZ'!H48-'3. ŽO zbirno'!H48</f>
        <v>1072233</v>
      </c>
      <c r="L48" s="33">
        <v>1027</v>
      </c>
      <c r="M48" s="88"/>
      <c r="N48" s="34">
        <f t="shared" si="0"/>
        <v>587413</v>
      </c>
      <c r="P48" s="116">
        <v>1072233</v>
      </c>
      <c r="Q48" s="100">
        <f t="shared" si="1"/>
        <v>0</v>
      </c>
    </row>
    <row r="49" spans="1:17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88">
        <v>8809449</v>
      </c>
      <c r="H49" s="88">
        <v>6938024</v>
      </c>
      <c r="I49" s="209"/>
      <c r="J49" s="208">
        <f>G49-'12. NZZ'!G49-'3. ŽO zbirno'!G49</f>
        <v>0</v>
      </c>
      <c r="K49" s="197">
        <f>H49-'12. NZZ'!H49-'3. ŽO zbirno'!H49</f>
        <v>6938024</v>
      </c>
      <c r="L49" s="33">
        <v>1028</v>
      </c>
      <c r="M49" s="88"/>
      <c r="N49" s="34">
        <f t="shared" si="0"/>
        <v>8809449</v>
      </c>
      <c r="P49" s="116">
        <v>6938024</v>
      </c>
      <c r="Q49" s="100">
        <f t="shared" si="1"/>
        <v>0</v>
      </c>
    </row>
    <row r="50" spans="1:17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88">
        <v>38273</v>
      </c>
      <c r="H50" s="88">
        <v>97709</v>
      </c>
      <c r="I50" s="209"/>
      <c r="J50" s="208">
        <f>G50-'12. NZZ'!G50-'3. ŽO zbirno'!G50</f>
        <v>0</v>
      </c>
      <c r="K50" s="197">
        <f>H50-'12. NZZ'!H50-'3. ŽO zbirno'!H50</f>
        <v>97709</v>
      </c>
      <c r="L50" s="33">
        <v>1029</v>
      </c>
      <c r="M50" s="88"/>
      <c r="N50" s="34">
        <f t="shared" si="0"/>
        <v>38273</v>
      </c>
      <c r="P50" s="116">
        <v>97709</v>
      </c>
      <c r="Q50" s="100">
        <f t="shared" si="1"/>
        <v>0</v>
      </c>
    </row>
    <row r="51" spans="1:17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88">
        <v>3429</v>
      </c>
      <c r="H51" s="88">
        <v>7064</v>
      </c>
      <c r="I51" s="209"/>
      <c r="J51" s="208">
        <f>G51-'12. NZZ'!G51-'3. ŽO zbirno'!G51</f>
        <v>0</v>
      </c>
      <c r="K51" s="197">
        <f>H51-'12. NZZ'!H51-'3. ŽO zbirno'!H51</f>
        <v>7064</v>
      </c>
      <c r="L51" s="33">
        <v>1030</v>
      </c>
      <c r="M51" s="88"/>
      <c r="N51" s="34">
        <f t="shared" si="0"/>
        <v>3429</v>
      </c>
      <c r="P51" s="116">
        <v>7064</v>
      </c>
      <c r="Q51" s="100">
        <f t="shared" si="1"/>
        <v>0</v>
      </c>
    </row>
    <row r="52" spans="1:17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88">
        <v>646459</v>
      </c>
      <c r="H52" s="88">
        <v>679814</v>
      </c>
      <c r="I52" s="209"/>
      <c r="J52" s="208">
        <f>G52-'12. NZZ'!G52-'3. ŽO zbirno'!G52</f>
        <v>0</v>
      </c>
      <c r="K52" s="197">
        <f>H52-'12. NZZ'!H52-'3. ŽO zbirno'!H52</f>
        <v>679814</v>
      </c>
      <c r="L52" s="33">
        <v>1031</v>
      </c>
      <c r="M52" s="88"/>
      <c r="N52" s="34">
        <f t="shared" si="0"/>
        <v>646459</v>
      </c>
      <c r="P52" s="116">
        <v>679814</v>
      </c>
      <c r="Q52" s="100">
        <f t="shared" si="1"/>
        <v>0</v>
      </c>
    </row>
    <row r="53" spans="1:17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88">
        <v>305253</v>
      </c>
      <c r="H53" s="88">
        <v>83304</v>
      </c>
      <c r="I53" s="209"/>
      <c r="J53" s="208">
        <f>G53-'12. NZZ'!G53-'3. ŽO zbirno'!G53</f>
        <v>0</v>
      </c>
      <c r="K53" s="197">
        <f>H53-'12. NZZ'!H53-'3. ŽO zbirno'!H53</f>
        <v>83304</v>
      </c>
      <c r="L53" s="33">
        <v>1032</v>
      </c>
      <c r="M53" s="88"/>
      <c r="N53" s="34">
        <f t="shared" si="0"/>
        <v>305253</v>
      </c>
      <c r="P53" s="116">
        <v>83304</v>
      </c>
      <c r="Q53" s="100">
        <f t="shared" si="1"/>
        <v>0</v>
      </c>
    </row>
    <row r="54" spans="1:17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88">
        <v>1748161</v>
      </c>
      <c r="H54" s="88">
        <v>207227</v>
      </c>
      <c r="I54" s="209"/>
      <c r="J54" s="208">
        <f>G54-'12. NZZ'!G54-'3. ŽO zbirno'!G54</f>
        <v>0</v>
      </c>
      <c r="K54" s="197">
        <f>H54-'12. NZZ'!H54-'3. ŽO zbirno'!H54</f>
        <v>207227</v>
      </c>
      <c r="L54" s="33">
        <v>1033</v>
      </c>
      <c r="M54" s="88"/>
      <c r="N54" s="34">
        <f t="shared" si="0"/>
        <v>1748161</v>
      </c>
      <c r="P54" s="116">
        <v>207227</v>
      </c>
      <c r="Q54" s="100">
        <f t="shared" si="1"/>
        <v>0</v>
      </c>
    </row>
    <row r="55" spans="1:17" ht="25.5">
      <c r="A55" s="29"/>
      <c r="B55" s="35"/>
      <c r="C55" s="35"/>
      <c r="D55" s="28" t="s">
        <v>297</v>
      </c>
      <c r="E55" s="29" t="s">
        <v>156</v>
      </c>
      <c r="F55" s="36"/>
      <c r="G55" s="87">
        <f>IF((G57-G58+G59-G60+G61-G62+G63-G64)&gt;0,(G57-G58+G59-G60+G61-G62+G63-G64),0)</f>
        <v>1826430</v>
      </c>
      <c r="H55" s="87"/>
      <c r="I55" s="208"/>
      <c r="J55" s="208">
        <f>G55-'12. NZZ'!G55-'3. ŽO zbirno'!G55</f>
        <v>-3243</v>
      </c>
      <c r="K55" s="197">
        <f>H55-'12. NZZ'!H55-'3. ŽO zbirno'!H55</f>
        <v>0</v>
      </c>
      <c r="L55" s="33">
        <v>1034</v>
      </c>
      <c r="M55" s="87"/>
      <c r="N55" s="34">
        <f t="shared" si="0"/>
        <v>1826430</v>
      </c>
      <c r="P55" s="116"/>
      <c r="Q55" s="100">
        <f t="shared" si="1"/>
        <v>0</v>
      </c>
    </row>
    <row r="56" spans="1:17" ht="25.5">
      <c r="A56" s="29"/>
      <c r="B56" s="35"/>
      <c r="C56" s="35"/>
      <c r="D56" s="28" t="s">
        <v>298</v>
      </c>
      <c r="E56" s="29" t="s">
        <v>157</v>
      </c>
      <c r="F56" s="36"/>
      <c r="G56" s="91">
        <f>IF((G57-G58+G59-G60+G61-G62+G63-G64)&lt;0,-(G57-G58+G59-G60+G61-G62+G63-G64),0)</f>
        <v>0</v>
      </c>
      <c r="H56" s="91">
        <f>(H57-H58+H59-H60+H61-H62+H63-H64)*-1</f>
        <v>139421</v>
      </c>
      <c r="I56" s="210"/>
      <c r="J56" s="208">
        <f>G56-'12. NZZ'!G56-'3. ŽO zbirno'!G56</f>
        <v>-3243</v>
      </c>
      <c r="K56" s="197">
        <f>H56-'12. NZZ'!H56-'3. ŽO zbirno'!H56</f>
        <v>139421</v>
      </c>
      <c r="L56" s="33">
        <v>1035</v>
      </c>
      <c r="M56" s="91"/>
      <c r="N56" s="34">
        <f t="shared" si="0"/>
        <v>0</v>
      </c>
      <c r="P56" s="116">
        <v>139421</v>
      </c>
      <c r="Q56" s="100">
        <f t="shared" si="1"/>
        <v>0</v>
      </c>
    </row>
    <row r="57" spans="1:17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88">
        <v>5856</v>
      </c>
      <c r="H57" s="88">
        <v>10554</v>
      </c>
      <c r="I57" s="209"/>
      <c r="J57" s="208">
        <f>G57-'12. NZZ'!G57-'3. ŽO zbirno'!G57</f>
        <v>0</v>
      </c>
      <c r="K57" s="197">
        <f>H57-'12. NZZ'!H57-'3. ŽO zbirno'!H57</f>
        <v>10554</v>
      </c>
      <c r="L57" s="33">
        <v>1036</v>
      </c>
      <c r="M57" s="88"/>
      <c r="N57" s="34">
        <f t="shared" si="0"/>
        <v>5856</v>
      </c>
      <c r="P57" s="116">
        <v>10554</v>
      </c>
      <c r="Q57" s="100">
        <f t="shared" si="1"/>
        <v>0</v>
      </c>
    </row>
    <row r="58" spans="1:17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88">
        <v>9099</v>
      </c>
      <c r="H58" s="88">
        <v>6272</v>
      </c>
      <c r="I58" s="209"/>
      <c r="J58" s="208">
        <f>G58-'12. NZZ'!G58-'3. ŽO zbirno'!G58</f>
        <v>0</v>
      </c>
      <c r="K58" s="197">
        <f>H58-'12. NZZ'!H58-'3. ŽO zbirno'!H58</f>
        <v>6272</v>
      </c>
      <c r="L58" s="33">
        <v>1037</v>
      </c>
      <c r="M58" s="88"/>
      <c r="N58" s="34">
        <f t="shared" si="0"/>
        <v>9099</v>
      </c>
      <c r="P58" s="116">
        <v>6272</v>
      </c>
      <c r="Q58" s="100">
        <f t="shared" si="1"/>
        <v>0</v>
      </c>
    </row>
    <row r="59" spans="1:17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88">
        <v>3908217</v>
      </c>
      <c r="H59" s="88">
        <v>2301977</v>
      </c>
      <c r="I59" s="209"/>
      <c r="J59" s="208">
        <f>G59-'12. NZZ'!G59-'3. ŽO zbirno'!G59</f>
        <v>0</v>
      </c>
      <c r="K59" s="197">
        <f>H59-'12. NZZ'!H59-'3. ŽO zbirno'!H59</f>
        <v>2301977</v>
      </c>
      <c r="L59" s="33">
        <v>1038</v>
      </c>
      <c r="M59" s="88"/>
      <c r="N59" s="34">
        <f t="shared" si="0"/>
        <v>3908217</v>
      </c>
      <c r="P59" s="116">
        <v>2301977</v>
      </c>
      <c r="Q59" s="100">
        <f t="shared" si="1"/>
        <v>0</v>
      </c>
    </row>
    <row r="60" spans="1:17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88">
        <v>2069219</v>
      </c>
      <c r="H60" s="88">
        <v>2459183</v>
      </c>
      <c r="I60" s="209"/>
      <c r="J60" s="208">
        <f>G60-'12. NZZ'!G60-'3. ŽO zbirno'!G60</f>
        <v>0</v>
      </c>
      <c r="K60" s="197">
        <f>H60-'12. NZZ'!H60-'3. ŽO zbirno'!H60</f>
        <v>2459183</v>
      </c>
      <c r="L60" s="33">
        <v>1039</v>
      </c>
      <c r="M60" s="88"/>
      <c r="N60" s="34">
        <f t="shared" si="0"/>
        <v>2069219</v>
      </c>
      <c r="P60" s="116">
        <v>2459183</v>
      </c>
      <c r="Q60" s="100">
        <f t="shared" si="1"/>
        <v>0</v>
      </c>
    </row>
    <row r="61" spans="1:17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88">
        <v>5564</v>
      </c>
      <c r="H61" s="88">
        <v>13787</v>
      </c>
      <c r="I61" s="209"/>
      <c r="J61" s="208">
        <f>G61-'12. NZZ'!G61-'3. ŽO zbirno'!G61</f>
        <v>0</v>
      </c>
      <c r="K61" s="197">
        <f>H61-'12. NZZ'!H61-'3. ŽO zbirno'!H61</f>
        <v>13787</v>
      </c>
      <c r="L61" s="33">
        <v>1040</v>
      </c>
      <c r="M61" s="88"/>
      <c r="N61" s="34">
        <f t="shared" si="0"/>
        <v>5564</v>
      </c>
      <c r="P61" s="116">
        <v>13787</v>
      </c>
      <c r="Q61" s="100">
        <f t="shared" si="1"/>
        <v>0</v>
      </c>
    </row>
    <row r="62" spans="1:17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88">
        <v>14889</v>
      </c>
      <c r="H62" s="88">
        <v>284</v>
      </c>
      <c r="I62" s="209"/>
      <c r="J62" s="208">
        <f>G62-'12. NZZ'!G62-'3. ŽO zbirno'!G62</f>
        <v>0</v>
      </c>
      <c r="K62" s="197">
        <f>H62-'12. NZZ'!H62-'3. ŽO zbirno'!H62</f>
        <v>284</v>
      </c>
      <c r="L62" s="33">
        <v>1041</v>
      </c>
      <c r="M62" s="88"/>
      <c r="N62" s="34">
        <f t="shared" si="0"/>
        <v>14889</v>
      </c>
      <c r="P62" s="116">
        <v>284</v>
      </c>
      <c r="Q62" s="100">
        <f t="shared" si="1"/>
        <v>0</v>
      </c>
    </row>
    <row r="63" spans="1:17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88">
        <v>0</v>
      </c>
      <c r="H63" s="88">
        <v>0</v>
      </c>
      <c r="I63" s="209"/>
      <c r="J63" s="208">
        <f>G63-'12. NZZ'!G63-'3. ŽO zbirno'!G63</f>
        <v>0</v>
      </c>
      <c r="K63" s="197">
        <f>H63-'12. NZZ'!H63-'3. ŽO zbirno'!H63</f>
        <v>0</v>
      </c>
      <c r="L63" s="33">
        <v>1042</v>
      </c>
      <c r="M63" s="88"/>
      <c r="N63" s="34">
        <f t="shared" si="0"/>
        <v>0</v>
      </c>
      <c r="P63" s="116">
        <v>0</v>
      </c>
      <c r="Q63" s="100">
        <f t="shared" si="1"/>
        <v>0</v>
      </c>
    </row>
    <row r="64" spans="1:17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88">
        <v>0</v>
      </c>
      <c r="H64" s="88">
        <v>0</v>
      </c>
      <c r="I64" s="209"/>
      <c r="J64" s="208">
        <f>G64-'12. NZZ'!G64-'3. ŽO zbirno'!G64</f>
        <v>0</v>
      </c>
      <c r="K64" s="197">
        <f>H64-'12. NZZ'!H64-'3. ŽO zbirno'!H64</f>
        <v>0</v>
      </c>
      <c r="L64" s="33">
        <v>1043</v>
      </c>
      <c r="M64" s="88"/>
      <c r="N64" s="34">
        <f t="shared" si="0"/>
        <v>0</v>
      </c>
      <c r="P64" s="116">
        <v>0</v>
      </c>
      <c r="Q64" s="100">
        <f t="shared" si="1"/>
        <v>0</v>
      </c>
    </row>
    <row r="65" spans="1:17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7">
        <v>345348</v>
      </c>
      <c r="H65" s="87">
        <v>357990</v>
      </c>
      <c r="I65" s="208"/>
      <c r="J65" s="208">
        <f>G65-'12. NZZ'!G65-'3. ŽO zbirno'!G65</f>
        <v>0</v>
      </c>
      <c r="K65" s="197">
        <f>H65-'12. NZZ'!H65-'3. ŽO zbirno'!H65</f>
        <v>357990</v>
      </c>
      <c r="L65" s="33">
        <v>1044</v>
      </c>
      <c r="M65" s="87"/>
      <c r="N65" s="34">
        <f t="shared" si="0"/>
        <v>345348</v>
      </c>
      <c r="P65" s="116">
        <v>357990</v>
      </c>
      <c r="Q65" s="100">
        <f t="shared" si="1"/>
        <v>0</v>
      </c>
    </row>
    <row r="66" spans="1:17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7">
        <v>0</v>
      </c>
      <c r="H66" s="87">
        <v>0</v>
      </c>
      <c r="I66" s="208"/>
      <c r="J66" s="208">
        <f>G66-'12. NZZ'!G66-'3. ŽO zbirno'!G66</f>
        <v>0</v>
      </c>
      <c r="K66" s="197">
        <f>H66-'12. NZZ'!H66-'3. ŽO zbirno'!H66</f>
        <v>0</v>
      </c>
      <c r="L66" s="33">
        <v>1045</v>
      </c>
      <c r="M66" s="87"/>
      <c r="N66" s="34">
        <f t="shared" si="0"/>
        <v>0</v>
      </c>
      <c r="P66" s="116">
        <v>0</v>
      </c>
      <c r="Q66" s="100">
        <f t="shared" si="1"/>
        <v>0</v>
      </c>
    </row>
    <row r="67" spans="1:17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7">
        <v>1427812</v>
      </c>
      <c r="H67" s="87">
        <f>619412+20528</f>
        <v>639940</v>
      </c>
      <c r="I67" s="208"/>
      <c r="J67" s="208">
        <f>G67-'12. NZZ'!G67-'3. ŽO zbirno'!G67</f>
        <v>0</v>
      </c>
      <c r="K67" s="197">
        <f>H67-'12. NZZ'!H67-'3. ŽO zbirno'!H67</f>
        <v>639940</v>
      </c>
      <c r="L67" s="33">
        <v>1046</v>
      </c>
      <c r="M67" s="87"/>
      <c r="N67" s="34">
        <f t="shared" si="0"/>
        <v>1427812</v>
      </c>
      <c r="P67" s="116">
        <v>639940</v>
      </c>
      <c r="Q67" s="100">
        <f t="shared" si="1"/>
        <v>0</v>
      </c>
    </row>
    <row r="68" spans="1:17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7">
        <v>577262</v>
      </c>
      <c r="H68" s="87">
        <v>537999</v>
      </c>
      <c r="I68" s="208"/>
      <c r="J68" s="208">
        <f>G68-'12. NZZ'!G68-'3. ŽO zbirno'!G68</f>
        <v>0</v>
      </c>
      <c r="K68" s="197">
        <f>H68-'12. NZZ'!H68-'3. ŽO zbirno'!H68</f>
        <v>537999</v>
      </c>
      <c r="L68" s="33">
        <v>1047</v>
      </c>
      <c r="M68" s="87"/>
      <c r="N68" s="34">
        <f t="shared" si="0"/>
        <v>577262</v>
      </c>
      <c r="P68" s="116">
        <v>537999</v>
      </c>
      <c r="Q68" s="100">
        <f t="shared" si="1"/>
        <v>0</v>
      </c>
    </row>
    <row r="69" spans="1:17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7">
        <v>0</v>
      </c>
      <c r="H69" s="87"/>
      <c r="I69" s="208"/>
      <c r="J69" s="208">
        <f>G69-'12. NZZ'!G69-'3. ŽO zbirno'!G69</f>
        <v>0</v>
      </c>
      <c r="K69" s="197">
        <f>H69-'12. NZZ'!H69-'3. ŽO zbirno'!H69</f>
        <v>0</v>
      </c>
      <c r="L69" s="33">
        <v>1048</v>
      </c>
      <c r="M69" s="87"/>
      <c r="N69" s="34">
        <f t="shared" si="0"/>
        <v>0</v>
      </c>
      <c r="P69" s="116"/>
      <c r="Q69" s="100">
        <f t="shared" si="1"/>
        <v>0</v>
      </c>
    </row>
    <row r="70" spans="1:17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7483848</v>
      </c>
      <c r="H70" s="41">
        <f>H22-H37</f>
        <v>5710630</v>
      </c>
      <c r="I70" s="211"/>
      <c r="J70" s="208">
        <f>G70-'12. NZZ'!G70-'3. ŽO zbirno'!G70</f>
        <v>0</v>
      </c>
      <c r="K70" s="197">
        <f>H70-'12. NZZ'!H70-'3. ŽO zbirno'!H70</f>
        <v>5710630</v>
      </c>
      <c r="L70" s="33">
        <v>1049</v>
      </c>
      <c r="M70" s="41"/>
      <c r="N70" s="34">
        <f t="shared" si="0"/>
        <v>7483848</v>
      </c>
      <c r="P70" s="116">
        <v>5710630</v>
      </c>
      <c r="Q70" s="100">
        <f t="shared" si="1"/>
        <v>0</v>
      </c>
    </row>
    <row r="71" spans="1:17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41"/>
      <c r="I71" s="211"/>
      <c r="J71" s="208">
        <f>G71-'12. NZZ'!G71-'3. ŽO zbirno'!G71</f>
        <v>0</v>
      </c>
      <c r="K71" s="197">
        <f>H71-'12. NZZ'!H71-'3. ŽO zbirno'!H71</f>
        <v>0</v>
      </c>
      <c r="L71" s="33">
        <v>1050</v>
      </c>
      <c r="M71" s="41"/>
      <c r="N71" s="34">
        <f t="shared" si="0"/>
        <v>0</v>
      </c>
      <c r="P71" s="116"/>
      <c r="Q71" s="100">
        <f t="shared" si="1"/>
        <v>0</v>
      </c>
    </row>
    <row r="72" spans="1:17" ht="25.5">
      <c r="A72" s="26"/>
      <c r="B72" s="27" t="s">
        <v>56</v>
      </c>
      <c r="C72" s="27"/>
      <c r="D72" s="42" t="s">
        <v>301</v>
      </c>
      <c r="E72" s="29"/>
      <c r="F72" s="30"/>
      <c r="G72" s="86"/>
      <c r="H72" s="86"/>
      <c r="I72" s="208"/>
      <c r="J72" s="208">
        <f>G72-'12. NZZ'!G72-'3. ŽO zbirno'!G72</f>
        <v>0</v>
      </c>
      <c r="K72" s="197">
        <f>H72-'12. NZZ'!H72-'3. ŽO zbirno'!H72</f>
        <v>0</v>
      </c>
      <c r="L72" s="43"/>
      <c r="M72" s="86"/>
      <c r="N72" s="45">
        <f t="shared" si="0"/>
        <v>0</v>
      </c>
      <c r="P72" s="116"/>
      <c r="Q72" s="100">
        <f t="shared" si="1"/>
        <v>0</v>
      </c>
    </row>
    <row r="73" spans="1:17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86">
        <f>G74+G75+G79+G80+G81+G82+G83</f>
        <v>1346043</v>
      </c>
      <c r="H73" s="86">
        <f>H74+H75+H79+H80+H81+H82+H83</f>
        <v>701027</v>
      </c>
      <c r="I73" s="208"/>
      <c r="J73" s="208">
        <f>G73-'12. NZZ'!G73-'3. ŽO zbirno'!G73</f>
        <v>0</v>
      </c>
      <c r="K73" s="197">
        <f>H73-'12. NZZ'!H73-'3. ŽO zbirno'!H73</f>
        <v>701027</v>
      </c>
      <c r="L73" s="33">
        <v>1051</v>
      </c>
      <c r="M73" s="86"/>
      <c r="N73" s="34">
        <f t="shared" si="0"/>
        <v>1346043</v>
      </c>
      <c r="P73" s="116">
        <v>701027</v>
      </c>
      <c r="Q73" s="100">
        <f t="shared" si="1"/>
        <v>0</v>
      </c>
    </row>
    <row r="74" spans="1:17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93">
        <v>31922</v>
      </c>
      <c r="H74" s="93">
        <v>65941</v>
      </c>
      <c r="I74" s="212"/>
      <c r="J74" s="208">
        <f>G74-'12. NZZ'!G74-'3. ŽO zbirno'!G74</f>
        <v>0</v>
      </c>
      <c r="K74" s="197">
        <f>H74-'12. NZZ'!H74-'3. ŽO zbirno'!H74</f>
        <v>65941</v>
      </c>
      <c r="L74" s="33">
        <v>1052</v>
      </c>
      <c r="M74" s="93"/>
      <c r="N74" s="34">
        <f t="shared" si="0"/>
        <v>31922</v>
      </c>
      <c r="P74" s="116">
        <v>65941</v>
      </c>
      <c r="Q74" s="100">
        <f t="shared" si="1"/>
        <v>0</v>
      </c>
    </row>
    <row r="75" spans="1:17" ht="15.75" customHeight="1">
      <c r="A75" s="26"/>
      <c r="B75" s="27"/>
      <c r="C75" s="27"/>
      <c r="D75" s="39" t="s">
        <v>188</v>
      </c>
      <c r="E75" s="29" t="s">
        <v>190</v>
      </c>
      <c r="F75" s="30"/>
      <c r="G75" s="93">
        <f>G76+G77+G78</f>
        <v>175403</v>
      </c>
      <c r="H75" s="93">
        <f>H76+H77+H78</f>
        <v>97913</v>
      </c>
      <c r="I75" s="212"/>
      <c r="J75" s="208">
        <f>G75-'12. NZZ'!G75-'3. ŽO zbirno'!G75</f>
        <v>0</v>
      </c>
      <c r="K75" s="197">
        <f>H75-'12. NZZ'!H75-'3. ŽO zbirno'!H75</f>
        <v>97913</v>
      </c>
      <c r="L75" s="33">
        <v>1053</v>
      </c>
      <c r="M75" s="93"/>
      <c r="N75" s="34">
        <f t="shared" si="0"/>
        <v>175403</v>
      </c>
      <c r="P75" s="116">
        <v>97913</v>
      </c>
      <c r="Q75" s="100">
        <f t="shared" si="1"/>
        <v>0</v>
      </c>
    </row>
    <row r="76" spans="1:17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93">
        <v>93247</v>
      </c>
      <c r="H76" s="93">
        <v>96118</v>
      </c>
      <c r="I76" s="212"/>
      <c r="J76" s="208">
        <f>G76-'12. NZZ'!G76-'3. ŽO zbirno'!G76</f>
        <v>0</v>
      </c>
      <c r="K76" s="197">
        <f>H76-'12. NZZ'!H76-'3. ŽO zbirno'!H76</f>
        <v>96118</v>
      </c>
      <c r="L76" s="33">
        <v>1054</v>
      </c>
      <c r="M76" s="93"/>
      <c r="N76" s="34">
        <f t="shared" si="0"/>
        <v>93247</v>
      </c>
      <c r="P76" s="116">
        <v>96118</v>
      </c>
      <c r="Q76" s="100">
        <f t="shared" si="1"/>
        <v>0</v>
      </c>
    </row>
    <row r="77" spans="1:17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93">
        <v>81592</v>
      </c>
      <c r="H77" s="93">
        <v>0</v>
      </c>
      <c r="I77" s="212"/>
      <c r="J77" s="208">
        <f>G77-'12. NZZ'!G77-'3. ŽO zbirno'!G77</f>
        <v>0</v>
      </c>
      <c r="K77" s="197">
        <f>H77-'12. NZZ'!H77-'3. ŽO zbirno'!H77</f>
        <v>0</v>
      </c>
      <c r="L77" s="33">
        <v>1055</v>
      </c>
      <c r="M77" s="93"/>
      <c r="N77" s="34">
        <f t="shared" si="0"/>
        <v>81592</v>
      </c>
      <c r="P77" s="116">
        <v>0</v>
      </c>
      <c r="Q77" s="100">
        <f t="shared" si="1"/>
        <v>0</v>
      </c>
    </row>
    <row r="78" spans="1:17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93">
        <v>564</v>
      </c>
      <c r="H78" s="93">
        <v>1795</v>
      </c>
      <c r="I78" s="212"/>
      <c r="J78" s="208">
        <f>G78-'12. NZZ'!G78-'3. ŽO zbirno'!G78</f>
        <v>0</v>
      </c>
      <c r="K78" s="197">
        <f>H78-'12. NZZ'!H78-'3. ŽO zbirno'!H78</f>
        <v>1795</v>
      </c>
      <c r="L78" s="33">
        <v>1056</v>
      </c>
      <c r="M78" s="93"/>
      <c r="N78" s="34">
        <f t="shared" si="0"/>
        <v>564</v>
      </c>
      <c r="P78" s="116">
        <v>1795</v>
      </c>
      <c r="Q78" s="100">
        <f t="shared" si="1"/>
        <v>0</v>
      </c>
    </row>
    <row r="79" spans="1:17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93">
        <v>169795</v>
      </c>
      <c r="H79" s="93">
        <v>29230</v>
      </c>
      <c r="I79" s="212"/>
      <c r="J79" s="208">
        <f>G79-'12. NZZ'!G79-'3. ŽO zbirno'!G79</f>
        <v>0</v>
      </c>
      <c r="K79" s="197">
        <f>H79-'12. NZZ'!H79-'3. ŽO zbirno'!H79</f>
        <v>29230</v>
      </c>
      <c r="L79" s="33">
        <v>1057</v>
      </c>
      <c r="M79" s="93"/>
      <c r="N79" s="34">
        <f t="shared" si="0"/>
        <v>169795</v>
      </c>
      <c r="P79" s="116">
        <v>29230</v>
      </c>
      <c r="Q79" s="100">
        <f t="shared" si="1"/>
        <v>0</v>
      </c>
    </row>
    <row r="80" spans="1:17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93">
        <v>403116</v>
      </c>
      <c r="H80" s="93">
        <v>82662</v>
      </c>
      <c r="I80" s="212"/>
      <c r="J80" s="208">
        <f>G80-'12. NZZ'!G80-'3. ŽO zbirno'!G80</f>
        <v>0</v>
      </c>
      <c r="K80" s="197">
        <f>H80-'12. NZZ'!H80-'3. ŽO zbirno'!H80</f>
        <v>82662</v>
      </c>
      <c r="L80" s="33">
        <v>1058</v>
      </c>
      <c r="M80" s="93"/>
      <c r="N80" s="34">
        <f t="shared" si="0"/>
        <v>403116</v>
      </c>
      <c r="P80" s="116">
        <v>82662</v>
      </c>
      <c r="Q80" s="100">
        <f t="shared" si="1"/>
        <v>0</v>
      </c>
    </row>
    <row r="81" spans="1:17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93">
        <v>360090</v>
      </c>
      <c r="H81" s="93">
        <v>983</v>
      </c>
      <c r="I81" s="212"/>
      <c r="J81" s="208">
        <f>G81-'12. NZZ'!G81-'3. ŽO zbirno'!G81</f>
        <v>0</v>
      </c>
      <c r="K81" s="197">
        <f>H81-'12. NZZ'!H81-'3. ŽO zbirno'!H81</f>
        <v>983</v>
      </c>
      <c r="L81" s="33">
        <v>1059</v>
      </c>
      <c r="M81" s="93"/>
      <c r="N81" s="34">
        <f t="shared" si="0"/>
        <v>360090</v>
      </c>
      <c r="P81" s="116">
        <v>983</v>
      </c>
      <c r="Q81" s="100">
        <f t="shared" si="1"/>
        <v>0</v>
      </c>
    </row>
    <row r="82" spans="1:17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93">
        <v>151487</v>
      </c>
      <c r="H82" s="93">
        <v>424298</v>
      </c>
      <c r="I82" s="212"/>
      <c r="J82" s="208">
        <f>G82-'12. NZZ'!G82-'3. ŽO zbirno'!G82</f>
        <v>0</v>
      </c>
      <c r="K82" s="197">
        <f>H82-'12. NZZ'!H82-'3. ŽO zbirno'!H82</f>
        <v>424298</v>
      </c>
      <c r="L82" s="33">
        <v>1060</v>
      </c>
      <c r="M82" s="93"/>
      <c r="N82" s="34">
        <f t="shared" si="0"/>
        <v>151487</v>
      </c>
      <c r="P82" s="116">
        <v>424298</v>
      </c>
      <c r="Q82" s="100">
        <f t="shared" si="1"/>
        <v>0</v>
      </c>
    </row>
    <row r="83" spans="1:17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93">
        <v>54230</v>
      </c>
      <c r="H83" s="93">
        <v>0</v>
      </c>
      <c r="I83" s="212"/>
      <c r="J83" s="208">
        <f>G83-'12. NZZ'!G83-'3. ŽO zbirno'!G83</f>
        <v>0</v>
      </c>
      <c r="K83" s="197">
        <f>H83-'12. NZZ'!H83-'3. ŽO zbirno'!H83</f>
        <v>0</v>
      </c>
      <c r="L83" s="33">
        <v>1061</v>
      </c>
      <c r="M83" s="93"/>
      <c r="N83" s="34">
        <f t="shared" si="0"/>
        <v>54230</v>
      </c>
      <c r="P83" s="116">
        <v>0</v>
      </c>
      <c r="Q83" s="100">
        <f t="shared" si="1"/>
        <v>0</v>
      </c>
    </row>
    <row r="84" spans="1:17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86">
        <f>G85+G86+G89+G90+G91+G92</f>
        <v>627552</v>
      </c>
      <c r="H84" s="86">
        <f>H85+H86+H89+H90+H91+H92</f>
        <v>157618</v>
      </c>
      <c r="I84" s="208"/>
      <c r="J84" s="208">
        <f>G84-'12. NZZ'!G84-'3. ŽO zbirno'!G84</f>
        <v>0</v>
      </c>
      <c r="K84" s="197">
        <f>H84-'12. NZZ'!H84-'3. ŽO zbirno'!H84</f>
        <v>157618</v>
      </c>
      <c r="L84" s="33">
        <v>1062</v>
      </c>
      <c r="M84" s="86"/>
      <c r="N84" s="34">
        <f t="shared" si="0"/>
        <v>627552</v>
      </c>
      <c r="P84" s="116">
        <v>157618</v>
      </c>
      <c r="Q84" s="100">
        <f t="shared" si="1"/>
        <v>0</v>
      </c>
    </row>
    <row r="85" spans="1:17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88">
        <v>0</v>
      </c>
      <c r="H85" s="88">
        <v>0</v>
      </c>
      <c r="I85" s="209"/>
      <c r="J85" s="208">
        <f>G85-'12. NZZ'!G85-'3. ŽO zbirno'!G85</f>
        <v>0</v>
      </c>
      <c r="K85" s="197">
        <f>H85-'12. NZZ'!H85-'3. ŽO zbirno'!H85</f>
        <v>0</v>
      </c>
      <c r="L85" s="70">
        <v>1063</v>
      </c>
      <c r="M85" s="88"/>
      <c r="N85" s="71">
        <f t="shared" si="0"/>
        <v>0</v>
      </c>
      <c r="P85" s="116">
        <v>0</v>
      </c>
      <c r="Q85" s="100">
        <f t="shared" si="1"/>
        <v>0</v>
      </c>
    </row>
    <row r="86" spans="1:17" ht="15">
      <c r="A86" s="26"/>
      <c r="B86" s="35"/>
      <c r="C86" s="35"/>
      <c r="D86" s="39" t="s">
        <v>304</v>
      </c>
      <c r="E86" s="29" t="s">
        <v>218</v>
      </c>
      <c r="F86" s="30"/>
      <c r="G86" s="88">
        <v>319880</v>
      </c>
      <c r="H86" s="88">
        <f>H87+H88</f>
        <v>2851</v>
      </c>
      <c r="I86" s="209"/>
      <c r="J86" s="208">
        <f>G86-'12. NZZ'!G86-'3. ŽO zbirno'!G86</f>
        <v>0</v>
      </c>
      <c r="K86" s="197">
        <f>H86-'12. NZZ'!H86-'3. ŽO zbirno'!H86</f>
        <v>2851</v>
      </c>
      <c r="L86" s="70">
        <v>1064</v>
      </c>
      <c r="M86" s="88"/>
      <c r="N86" s="71">
        <f t="shared" ref="N86:N134" si="2">G86-M86</f>
        <v>319880</v>
      </c>
      <c r="P86" s="116">
        <v>2851</v>
      </c>
      <c r="Q86" s="100">
        <f t="shared" si="1"/>
        <v>0</v>
      </c>
    </row>
    <row r="87" spans="1:17" ht="1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88">
        <v>319880</v>
      </c>
      <c r="H87" s="88">
        <v>0</v>
      </c>
      <c r="I87" s="209"/>
      <c r="J87" s="208">
        <f>G87-'12. NZZ'!G87-'3. ŽO zbirno'!G87</f>
        <v>0</v>
      </c>
      <c r="K87" s="197">
        <f>H87-'12. NZZ'!H87-'3. ŽO zbirno'!H87</f>
        <v>0</v>
      </c>
      <c r="L87" s="70">
        <v>1065</v>
      </c>
      <c r="M87" s="88"/>
      <c r="N87" s="71">
        <f t="shared" si="2"/>
        <v>319880</v>
      </c>
      <c r="P87" s="116">
        <v>0</v>
      </c>
      <c r="Q87" s="100">
        <f t="shared" ref="Q87:Q134" si="3">H87-P87</f>
        <v>0</v>
      </c>
    </row>
    <row r="88" spans="1:17" ht="1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88">
        <v>0</v>
      </c>
      <c r="H88" s="88">
        <v>2851</v>
      </c>
      <c r="I88" s="209"/>
      <c r="J88" s="208">
        <f>G88-'12. NZZ'!G88-'3. ŽO zbirno'!G88</f>
        <v>0</v>
      </c>
      <c r="K88" s="197">
        <f>H88-'12. NZZ'!H88-'3. ŽO zbirno'!H88</f>
        <v>2851</v>
      </c>
      <c r="L88" s="70">
        <v>1066</v>
      </c>
      <c r="M88" s="88"/>
      <c r="N88" s="71">
        <f t="shared" si="2"/>
        <v>0</v>
      </c>
      <c r="P88" s="116">
        <v>2851</v>
      </c>
      <c r="Q88" s="100">
        <f t="shared" si="3"/>
        <v>0</v>
      </c>
    </row>
    <row r="89" spans="1:17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88">
        <v>36571</v>
      </c>
      <c r="H89" s="88">
        <v>3938</v>
      </c>
      <c r="I89" s="209"/>
      <c r="J89" s="208">
        <f>G89-'12. NZZ'!G89-'3. ŽO zbirno'!G89</f>
        <v>0</v>
      </c>
      <c r="K89" s="197">
        <f>H89-'12. NZZ'!H89-'3. ŽO zbirno'!H89</f>
        <v>3938</v>
      </c>
      <c r="L89" s="70">
        <v>1067</v>
      </c>
      <c r="M89" s="88"/>
      <c r="N89" s="71">
        <f t="shared" si="2"/>
        <v>36571</v>
      </c>
      <c r="P89" s="116">
        <v>3938</v>
      </c>
      <c r="Q89" s="100">
        <f t="shared" si="3"/>
        <v>0</v>
      </c>
    </row>
    <row r="90" spans="1:17" ht="1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88">
        <v>128024</v>
      </c>
      <c r="H90" s="88">
        <v>0</v>
      </c>
      <c r="I90" s="209"/>
      <c r="J90" s="208">
        <f>G90-'12. NZZ'!G90-'3. ŽO zbirno'!G90</f>
        <v>0</v>
      </c>
      <c r="K90" s="197">
        <f>H90-'12. NZZ'!H90-'3. ŽO zbirno'!H90</f>
        <v>0</v>
      </c>
      <c r="L90" s="70">
        <v>1068</v>
      </c>
      <c r="M90" s="88"/>
      <c r="N90" s="71">
        <f t="shared" si="2"/>
        <v>128024</v>
      </c>
      <c r="P90" s="116">
        <v>0</v>
      </c>
      <c r="Q90" s="100">
        <f t="shared" si="3"/>
        <v>0</v>
      </c>
    </row>
    <row r="91" spans="1:17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88">
        <v>143077</v>
      </c>
      <c r="H91" s="88">
        <v>16387</v>
      </c>
      <c r="I91" s="209"/>
      <c r="J91" s="208">
        <f>G91-'12. NZZ'!G91-'3. ŽO zbirno'!G91</f>
        <v>0</v>
      </c>
      <c r="K91" s="197">
        <f>H91-'12. NZZ'!H91-'3. ŽO zbirno'!H91</f>
        <v>16387</v>
      </c>
      <c r="L91" s="70">
        <v>1069</v>
      </c>
      <c r="M91" s="88"/>
      <c r="N91" s="71">
        <f t="shared" si="2"/>
        <v>143077</v>
      </c>
      <c r="P91" s="116">
        <v>16387</v>
      </c>
      <c r="Q91" s="100">
        <f t="shared" si="3"/>
        <v>0</v>
      </c>
    </row>
    <row r="92" spans="1:17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88">
        <v>0</v>
      </c>
      <c r="H92" s="88">
        <v>134442</v>
      </c>
      <c r="I92" s="209"/>
      <c r="J92" s="208">
        <f>G92-'12. NZZ'!G92-'3. ŽO zbirno'!G92</f>
        <v>0</v>
      </c>
      <c r="K92" s="197">
        <f>H92-'12. NZZ'!H92-'3. ŽO zbirno'!H92</f>
        <v>134442</v>
      </c>
      <c r="L92" s="70">
        <v>1070</v>
      </c>
      <c r="M92" s="88"/>
      <c r="N92" s="71">
        <f t="shared" si="2"/>
        <v>0</v>
      </c>
      <c r="P92" s="116">
        <v>134442</v>
      </c>
      <c r="Q92" s="100">
        <f t="shared" si="3"/>
        <v>0</v>
      </c>
    </row>
    <row r="93" spans="1:17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86">
        <f>IF((G73-G84)&gt;0,(G73-G84),0)</f>
        <v>718491</v>
      </c>
      <c r="H93" s="86">
        <f>H73-H84</f>
        <v>543409</v>
      </c>
      <c r="I93" s="208"/>
      <c r="J93" s="208">
        <f>G93-'12. NZZ'!G93-'3. ŽO zbirno'!G93</f>
        <v>0</v>
      </c>
      <c r="K93" s="197">
        <f>H93-'12. NZZ'!H93-'3. ŽO zbirno'!H93</f>
        <v>543409</v>
      </c>
      <c r="L93" s="33">
        <v>1071</v>
      </c>
      <c r="M93" s="86"/>
      <c r="N93" s="34">
        <f t="shared" si="2"/>
        <v>718491</v>
      </c>
      <c r="P93" s="116">
        <v>543409</v>
      </c>
      <c r="Q93" s="100">
        <f t="shared" si="3"/>
        <v>0</v>
      </c>
    </row>
    <row r="94" spans="1:17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86">
        <f>IF((G73-G84)&lt;0,-(G73-G84),0)</f>
        <v>0</v>
      </c>
      <c r="H94" s="86"/>
      <c r="I94" s="208"/>
      <c r="J94" s="208">
        <f>G94-'12. NZZ'!G94-'3. ŽO zbirno'!G94</f>
        <v>0</v>
      </c>
      <c r="K94" s="197">
        <f>H94-'12. NZZ'!H94-'3. ŽO zbirno'!H94</f>
        <v>0</v>
      </c>
      <c r="L94" s="33">
        <v>1072</v>
      </c>
      <c r="M94" s="86"/>
      <c r="N94" s="34">
        <f t="shared" si="2"/>
        <v>0</v>
      </c>
      <c r="P94" s="116"/>
      <c r="Q94" s="100">
        <f t="shared" si="3"/>
        <v>0</v>
      </c>
    </row>
    <row r="95" spans="1:17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86">
        <f>G96+G101+G106-G107</f>
        <v>7267001</v>
      </c>
      <c r="H95" s="86">
        <f>H96+H101+H106-H107</f>
        <v>7532901</v>
      </c>
      <c r="I95" s="208"/>
      <c r="J95" s="208">
        <f>G95-'12. NZZ'!G95-'3. ŽO zbirno'!G95</f>
        <v>0</v>
      </c>
      <c r="K95" s="197">
        <f>H95-'12. NZZ'!H95-'3. ŽO zbirno'!H95</f>
        <v>7532901</v>
      </c>
      <c r="L95" s="33">
        <v>1073</v>
      </c>
      <c r="M95" s="86"/>
      <c r="N95" s="34">
        <f t="shared" si="2"/>
        <v>7267001</v>
      </c>
      <c r="P95" s="116">
        <v>7532901</v>
      </c>
      <c r="Q95" s="100">
        <f t="shared" si="3"/>
        <v>0</v>
      </c>
    </row>
    <row r="96" spans="1:17" ht="13.5" customHeight="1">
      <c r="A96" s="29"/>
      <c r="B96" s="35"/>
      <c r="C96" s="35"/>
      <c r="D96" s="28" t="s">
        <v>308</v>
      </c>
      <c r="E96" s="29" t="s">
        <v>236</v>
      </c>
      <c r="F96" s="36"/>
      <c r="G96" s="87">
        <f>G97+G98-G99+G100</f>
        <v>5365450</v>
      </c>
      <c r="H96" s="87">
        <f>H97+H98-H99+H100</f>
        <v>5110192</v>
      </c>
      <c r="I96" s="208"/>
      <c r="J96" s="208">
        <f>G96-'12. NZZ'!G96-'3. ŽO zbirno'!G96</f>
        <v>0</v>
      </c>
      <c r="K96" s="197">
        <f>H96-'12. NZZ'!H96-'3. ŽO zbirno'!H96</f>
        <v>5110192</v>
      </c>
      <c r="L96" s="33">
        <v>1074</v>
      </c>
      <c r="M96" s="87"/>
      <c r="N96" s="34">
        <f t="shared" si="2"/>
        <v>5365450</v>
      </c>
      <c r="P96" s="116">
        <v>5110192</v>
      </c>
      <c r="Q96" s="100">
        <f t="shared" si="3"/>
        <v>0</v>
      </c>
    </row>
    <row r="97" spans="1:17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528810+17181</f>
        <v>545991</v>
      </c>
      <c r="H97" s="189">
        <v>465772</v>
      </c>
      <c r="I97" s="100"/>
      <c r="J97" s="208">
        <f>G97-'12. NZZ'!G97-'3. ŽO zbirno'!G97</f>
        <v>0</v>
      </c>
      <c r="K97" s="197">
        <f>H97-'12. NZZ'!H97-'3. ŽO zbirno'!H97</f>
        <v>465772</v>
      </c>
      <c r="L97" s="33">
        <v>1075</v>
      </c>
      <c r="M97" s="92"/>
      <c r="N97" s="34">
        <f t="shared" si="2"/>
        <v>545991</v>
      </c>
      <c r="P97" s="116">
        <v>465772</v>
      </c>
      <c r="Q97" s="100">
        <f t="shared" si="3"/>
        <v>0</v>
      </c>
    </row>
    <row r="98" spans="1:17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4836640+111684</f>
        <v>4948324</v>
      </c>
      <c r="H98" s="189">
        <v>4742134</v>
      </c>
      <c r="I98" s="100"/>
      <c r="J98" s="208">
        <f>G98-'12. NZZ'!G98-'3. ŽO zbirno'!G98</f>
        <v>0</v>
      </c>
      <c r="K98" s="197">
        <f>H98-'12. NZZ'!H98-'3. ŽO zbirno'!H98</f>
        <v>4742134</v>
      </c>
      <c r="L98" s="33">
        <v>1076</v>
      </c>
      <c r="M98" s="92"/>
      <c r="N98" s="34">
        <f t="shared" si="2"/>
        <v>4948324</v>
      </c>
      <c r="P98" s="116">
        <v>4742134</v>
      </c>
      <c r="Q98" s="100">
        <f t="shared" si="3"/>
        <v>0</v>
      </c>
    </row>
    <row r="99" spans="1:17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v>128865</v>
      </c>
      <c r="H99" s="189">
        <v>97714</v>
      </c>
      <c r="I99" s="100"/>
      <c r="J99" s="208">
        <f>G99-'12. NZZ'!G99-'3. ŽO zbirno'!G99</f>
        <v>0</v>
      </c>
      <c r="K99" s="197">
        <f>H99-'12. NZZ'!H99-'3. ŽO zbirno'!H99</f>
        <v>97714</v>
      </c>
      <c r="L99" s="33">
        <v>1077</v>
      </c>
      <c r="M99" s="92"/>
      <c r="N99" s="34">
        <f t="shared" si="2"/>
        <v>128865</v>
      </c>
      <c r="P99" s="116">
        <v>97714</v>
      </c>
      <c r="Q99" s="100">
        <f t="shared" si="3"/>
        <v>0</v>
      </c>
    </row>
    <row r="100" spans="1:17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88">
        <v>0</v>
      </c>
      <c r="H100" s="88"/>
      <c r="I100" s="209"/>
      <c r="J100" s="208">
        <f>G100-'12. NZZ'!G100-'3. ŽO zbirno'!G100</f>
        <v>0</v>
      </c>
      <c r="K100" s="197">
        <f>H100-'12. NZZ'!H100-'3. ŽO zbirno'!H100</f>
        <v>0</v>
      </c>
      <c r="L100" s="33">
        <v>1078</v>
      </c>
      <c r="M100" s="88"/>
      <c r="N100" s="34">
        <f t="shared" si="2"/>
        <v>0</v>
      </c>
      <c r="P100" s="116"/>
      <c r="Q100" s="100">
        <f t="shared" si="3"/>
        <v>0</v>
      </c>
    </row>
    <row r="101" spans="1:17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7">
        <f>G102+G103+G104+G105</f>
        <v>1898636</v>
      </c>
      <c r="H101" s="87">
        <f>H102+H103+H104+H105</f>
        <v>2413594</v>
      </c>
      <c r="I101" s="208"/>
      <c r="J101" s="208">
        <f>G101-'12. NZZ'!G101-'3. ŽO zbirno'!G101</f>
        <v>0</v>
      </c>
      <c r="K101" s="197">
        <f>H101-'12. NZZ'!H101-'3. ŽO zbirno'!H101</f>
        <v>2413594</v>
      </c>
      <c r="L101" s="33">
        <v>1079</v>
      </c>
      <c r="M101" s="87"/>
      <c r="N101" s="34">
        <f t="shared" si="2"/>
        <v>1898636</v>
      </c>
      <c r="P101" s="116">
        <v>2413594</v>
      </c>
      <c r="Q101" s="100">
        <f t="shared" si="3"/>
        <v>0</v>
      </c>
    </row>
    <row r="102" spans="1:17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88">
        <v>472922</v>
      </c>
      <c r="H102" s="88">
        <v>492080</v>
      </c>
      <c r="I102" s="209"/>
      <c r="J102" s="208">
        <f>G102-'12. NZZ'!G102-'3. ŽO zbirno'!G102</f>
        <v>0</v>
      </c>
      <c r="K102" s="197">
        <f>H102-'12. NZZ'!H102-'3. ŽO zbirno'!H102</f>
        <v>492080</v>
      </c>
      <c r="L102" s="33">
        <v>1080</v>
      </c>
      <c r="M102" s="88"/>
      <c r="N102" s="34">
        <f t="shared" si="2"/>
        <v>472922</v>
      </c>
      <c r="P102" s="116">
        <v>492080</v>
      </c>
      <c r="Q102" s="100">
        <f t="shared" si="3"/>
        <v>0</v>
      </c>
    </row>
    <row r="103" spans="1:17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88">
        <v>429684</v>
      </c>
      <c r="H103" s="88">
        <v>463492</v>
      </c>
      <c r="I103" s="209"/>
      <c r="J103" s="208">
        <f>G103-'12. NZZ'!G103-'3. ŽO zbirno'!G103</f>
        <v>0</v>
      </c>
      <c r="K103" s="197">
        <f>H103-'12. NZZ'!H103-'3. ŽO zbirno'!H103</f>
        <v>463492</v>
      </c>
      <c r="L103" s="33">
        <v>1081</v>
      </c>
      <c r="M103" s="88"/>
      <c r="N103" s="34">
        <f t="shared" si="2"/>
        <v>429684</v>
      </c>
      <c r="P103" s="116">
        <v>463492</v>
      </c>
      <c r="Q103" s="100">
        <f t="shared" si="3"/>
        <v>0</v>
      </c>
    </row>
    <row r="104" spans="1:17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88">
        <v>851395</v>
      </c>
      <c r="H104" s="88">
        <v>1261301</v>
      </c>
      <c r="I104" s="209"/>
      <c r="J104" s="208">
        <f>G104-'12. NZZ'!G104-'3. ŽO zbirno'!G104</f>
        <v>0</v>
      </c>
      <c r="K104" s="197">
        <f>H104-'12. NZZ'!H104-'3. ŽO zbirno'!H104</f>
        <v>1261301</v>
      </c>
      <c r="L104" s="33">
        <v>1082</v>
      </c>
      <c r="M104" s="88"/>
      <c r="N104" s="34">
        <f t="shared" si="2"/>
        <v>851395</v>
      </c>
      <c r="P104" s="116">
        <v>1261301</v>
      </c>
      <c r="Q104" s="100">
        <f t="shared" si="3"/>
        <v>0</v>
      </c>
    </row>
    <row r="105" spans="1:17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88">
        <v>144635</v>
      </c>
      <c r="H105" s="88">
        <v>196721</v>
      </c>
      <c r="I105" s="209"/>
      <c r="J105" s="208">
        <f>G105-'12. NZZ'!G105-'3. ŽO zbirno'!G105</f>
        <v>0</v>
      </c>
      <c r="K105" s="197">
        <f>H105-'12. NZZ'!H105-'3. ŽO zbirno'!H105</f>
        <v>196721</v>
      </c>
      <c r="L105" s="33">
        <v>1083</v>
      </c>
      <c r="M105" s="88"/>
      <c r="N105" s="34">
        <f t="shared" si="2"/>
        <v>144635</v>
      </c>
      <c r="P105" s="116">
        <v>196721</v>
      </c>
      <c r="Q105" s="100">
        <f t="shared" si="3"/>
        <v>0</v>
      </c>
    </row>
    <row r="106" spans="1:17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7">
        <v>132898</v>
      </c>
      <c r="H106" s="87">
        <v>90708</v>
      </c>
      <c r="I106" s="208"/>
      <c r="J106" s="208">
        <f>G106-'12. NZZ'!G106-'3. ŽO zbirno'!G106</f>
        <v>0</v>
      </c>
      <c r="K106" s="197">
        <f>H106-'12. NZZ'!H106-'3. ŽO zbirno'!H106</f>
        <v>90708</v>
      </c>
      <c r="L106" s="33">
        <v>1084</v>
      </c>
      <c r="M106" s="87"/>
      <c r="N106" s="34">
        <f t="shared" si="2"/>
        <v>132898</v>
      </c>
      <c r="P106" s="116">
        <v>90708</v>
      </c>
      <c r="Q106" s="100">
        <f t="shared" si="3"/>
        <v>0</v>
      </c>
    </row>
    <row r="107" spans="1:17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7">
        <v>129983</v>
      </c>
      <c r="H107" s="87">
        <v>81593</v>
      </c>
      <c r="I107" s="208"/>
      <c r="J107" s="208">
        <f>G107-'12. NZZ'!G107-'3. ŽO zbirno'!G107</f>
        <v>0</v>
      </c>
      <c r="K107" s="197">
        <f>H107-'12. NZZ'!H107-'3. ŽO zbirno'!H107</f>
        <v>81593</v>
      </c>
      <c r="L107" s="33">
        <v>1085</v>
      </c>
      <c r="M107" s="87"/>
      <c r="N107" s="34">
        <f t="shared" si="2"/>
        <v>129983</v>
      </c>
      <c r="P107" s="116">
        <v>81593</v>
      </c>
      <c r="Q107" s="100">
        <f t="shared" si="3"/>
        <v>0</v>
      </c>
    </row>
    <row r="108" spans="1:17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90">
        <f>IF((G70+G93-G71-G94-G95)&gt;0,(G70+G93-G71-G94-G95),0)</f>
        <v>935338</v>
      </c>
      <c r="H108" s="90"/>
      <c r="I108" s="210"/>
      <c r="J108" s="208">
        <f>G108-'12. NZZ'!G108-'3. ŽO zbirno'!G108</f>
        <v>-66091</v>
      </c>
      <c r="K108" s="197">
        <f>H108-'12. NZZ'!H108-'3. ŽO zbirno'!H108</f>
        <v>0</v>
      </c>
      <c r="L108" s="33">
        <v>1086</v>
      </c>
      <c r="M108" s="90"/>
      <c r="N108" s="34">
        <f t="shared" si="2"/>
        <v>935338</v>
      </c>
      <c r="P108" s="116"/>
      <c r="Q108" s="100">
        <f t="shared" si="3"/>
        <v>0</v>
      </c>
    </row>
    <row r="109" spans="1:17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90">
        <f>IF((G70+G93-G71-G94-G95)&lt;0,-(G70+G93-G71-G94-G95),0)</f>
        <v>0</v>
      </c>
      <c r="H109" s="90">
        <f>(H70+H93-H71-H94-H95)*-1</f>
        <v>1278862</v>
      </c>
      <c r="I109" s="210"/>
      <c r="J109" s="208">
        <f>G109-'12. NZZ'!G109-'3. ŽO zbirno'!G109</f>
        <v>-66091</v>
      </c>
      <c r="K109" s="197">
        <f>H109-'12. NZZ'!H109-'3. ŽO zbirno'!H109</f>
        <v>1278862</v>
      </c>
      <c r="L109" s="33">
        <v>1087</v>
      </c>
      <c r="M109" s="90"/>
      <c r="N109" s="34">
        <f t="shared" si="2"/>
        <v>0</v>
      </c>
      <c r="P109" s="116">
        <v>1278862</v>
      </c>
      <c r="Q109" s="100">
        <f t="shared" si="3"/>
        <v>0</v>
      </c>
    </row>
    <row r="110" spans="1:17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7">
        <v>290880</v>
      </c>
      <c r="H110" s="87">
        <v>335541</v>
      </c>
      <c r="I110" s="208"/>
      <c r="J110" s="208">
        <f>G110-'12. NZZ'!G110-'3. ŽO zbirno'!G110</f>
        <v>0</v>
      </c>
      <c r="K110" s="197">
        <f>H110-'12. NZZ'!H110-'3. ŽO zbirno'!H110</f>
        <v>335541</v>
      </c>
      <c r="L110" s="33">
        <v>1088</v>
      </c>
      <c r="M110" s="87"/>
      <c r="N110" s="34">
        <f t="shared" si="2"/>
        <v>290880</v>
      </c>
      <c r="P110" s="116">
        <v>335541</v>
      </c>
      <c r="Q110" s="100">
        <f t="shared" si="3"/>
        <v>0</v>
      </c>
    </row>
    <row r="111" spans="1:17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7">
        <v>78079</v>
      </c>
      <c r="H111" s="87">
        <v>54918</v>
      </c>
      <c r="I111" s="208"/>
      <c r="J111" s="208">
        <f>G111-'12. NZZ'!G111-'3. ŽO zbirno'!G111</f>
        <v>0</v>
      </c>
      <c r="K111" s="197">
        <f>H111-'12. NZZ'!H111-'3. ŽO zbirno'!H111</f>
        <v>54918</v>
      </c>
      <c r="L111" s="33">
        <v>1089</v>
      </c>
      <c r="M111" s="87"/>
      <c r="N111" s="34">
        <f t="shared" si="2"/>
        <v>78079</v>
      </c>
      <c r="P111" s="116">
        <v>54918</v>
      </c>
      <c r="Q111" s="100">
        <f t="shared" si="3"/>
        <v>0</v>
      </c>
    </row>
    <row r="112" spans="1:17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7">
        <v>879348</v>
      </c>
      <c r="H112" s="87">
        <v>1025194</v>
      </c>
      <c r="I112" s="208"/>
      <c r="J112" s="208">
        <f>G112-'12. NZZ'!G112-'3. ŽO zbirno'!G112</f>
        <v>0</v>
      </c>
      <c r="K112" s="197">
        <f>H112-'12. NZZ'!H112-'3. ŽO zbirno'!H112</f>
        <v>1025194</v>
      </c>
      <c r="L112" s="33">
        <v>1090</v>
      </c>
      <c r="M112" s="87"/>
      <c r="N112" s="34">
        <f t="shared" si="2"/>
        <v>879348</v>
      </c>
      <c r="P112" s="116">
        <v>1025194</v>
      </c>
      <c r="Q112" s="100">
        <f t="shared" si="3"/>
        <v>0</v>
      </c>
    </row>
    <row r="113" spans="1:17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7">
        <v>1526861</v>
      </c>
      <c r="H113" s="87">
        <v>1475224</v>
      </c>
      <c r="I113" s="208"/>
      <c r="J113" s="208">
        <f>G113-'12. NZZ'!G113-'3. ŽO zbirno'!G113</f>
        <v>0</v>
      </c>
      <c r="K113" s="197">
        <f>H113-'12. NZZ'!H113-'3. ŽO zbirno'!H113</f>
        <v>1475224</v>
      </c>
      <c r="L113" s="33">
        <v>1091</v>
      </c>
      <c r="M113" s="87"/>
      <c r="N113" s="34">
        <f t="shared" si="2"/>
        <v>1526861</v>
      </c>
      <c r="P113" s="116">
        <v>1475224</v>
      </c>
      <c r="Q113" s="100">
        <f t="shared" si="3"/>
        <v>0</v>
      </c>
    </row>
    <row r="114" spans="1:17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7">
        <v>114383</v>
      </c>
      <c r="H114" s="87">
        <v>100916</v>
      </c>
      <c r="I114" s="208"/>
      <c r="J114" s="208">
        <f>G114-'12. NZZ'!G114-'3. ŽO zbirno'!G114</f>
        <v>0</v>
      </c>
      <c r="K114" s="197">
        <f>H114-'12. NZZ'!H114-'3. ŽO zbirno'!H114</f>
        <v>100916</v>
      </c>
      <c r="L114" s="33">
        <v>1092</v>
      </c>
      <c r="M114" s="87"/>
      <c r="N114" s="34">
        <f t="shared" si="2"/>
        <v>114383</v>
      </c>
      <c r="P114" s="116">
        <v>100916</v>
      </c>
      <c r="Q114" s="100">
        <f t="shared" si="3"/>
        <v>0</v>
      </c>
    </row>
    <row r="115" spans="1:17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7">
        <f>282155+2</f>
        <v>282157</v>
      </c>
      <c r="H115" s="87">
        <v>34644</v>
      </c>
      <c r="I115" s="208"/>
      <c r="J115" s="208">
        <f>G115-'12. NZZ'!G115-'3. ŽO zbirno'!G115</f>
        <v>0</v>
      </c>
      <c r="K115" s="197">
        <f>H115-'12. NZZ'!H115-'3. ŽO zbirno'!H115</f>
        <v>34644</v>
      </c>
      <c r="L115" s="33">
        <v>1093</v>
      </c>
      <c r="M115" s="87"/>
      <c r="N115" s="34">
        <f t="shared" si="2"/>
        <v>282157</v>
      </c>
      <c r="P115" s="116">
        <v>34644</v>
      </c>
      <c r="Q115" s="100">
        <f t="shared" si="3"/>
        <v>0</v>
      </c>
    </row>
    <row r="116" spans="1:17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90">
        <f>IF((G108+G110+G112+G114-G109-G111-G113-G115)&gt;0,(G108+G110+G112+G114-G109-G111-G113-G115),0)</f>
        <v>332852</v>
      </c>
      <c r="H116" s="90"/>
      <c r="I116" s="210"/>
      <c r="J116" s="208">
        <f>G116-'12. NZZ'!G116-'3. ŽO zbirno'!G116</f>
        <v>-192823</v>
      </c>
      <c r="K116" s="197">
        <f>H116-'12. NZZ'!H116-'3. ŽO zbirno'!H116</f>
        <v>0</v>
      </c>
      <c r="L116" s="33">
        <v>1094</v>
      </c>
      <c r="M116" s="90"/>
      <c r="N116" s="34">
        <f t="shared" si="2"/>
        <v>332852</v>
      </c>
      <c r="P116" s="116"/>
      <c r="Q116" s="100">
        <f t="shared" si="3"/>
        <v>0</v>
      </c>
    </row>
    <row r="117" spans="1:17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86">
        <f>IF((G108+G110+G112+G114-G109-G111-G113-G115)&lt;0,-(G108+G110+G112+G114-G109-G111-G113-G115),0)</f>
        <v>0</v>
      </c>
      <c r="H117" s="86">
        <f>(H108+H110+H112+H114-H109-H111-H113-H115)*-1</f>
        <v>1381997</v>
      </c>
      <c r="I117" s="208"/>
      <c r="J117" s="208">
        <f>G117-'12. NZZ'!G117-'3. ŽO zbirno'!G117</f>
        <v>-192823</v>
      </c>
      <c r="K117" s="197">
        <f>H117-'12. NZZ'!H117-'3. ŽO zbirno'!H117</f>
        <v>1381997</v>
      </c>
      <c r="L117" s="33">
        <v>1095</v>
      </c>
      <c r="M117" s="86"/>
      <c r="N117" s="34">
        <f t="shared" si="2"/>
        <v>0</v>
      </c>
      <c r="P117" s="116">
        <v>1381997</v>
      </c>
      <c r="Q117" s="100">
        <f t="shared" si="3"/>
        <v>0</v>
      </c>
    </row>
    <row r="118" spans="1:17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7">
        <v>0</v>
      </c>
      <c r="H118" s="87"/>
      <c r="I118" s="208"/>
      <c r="J118" s="208">
        <f>G118-'12. NZZ'!G118-'3. ŽO zbirno'!G118</f>
        <v>0</v>
      </c>
      <c r="K118" s="197">
        <f>H118-'12. NZZ'!H118-'3. ŽO zbirno'!H118</f>
        <v>0</v>
      </c>
      <c r="L118" s="33">
        <v>1096</v>
      </c>
      <c r="M118" s="87"/>
      <c r="N118" s="34">
        <f t="shared" si="2"/>
        <v>0</v>
      </c>
      <c r="P118" s="116"/>
      <c r="Q118" s="100">
        <f t="shared" si="3"/>
        <v>0</v>
      </c>
    </row>
    <row r="119" spans="1:17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7">
        <v>5119</v>
      </c>
      <c r="H119" s="87"/>
      <c r="I119" s="208"/>
      <c r="J119" s="208">
        <f>G119-'12. NZZ'!G119-'3. ŽO zbirno'!G119</f>
        <v>0</v>
      </c>
      <c r="K119" s="197">
        <f>H119-'12. NZZ'!H119-'3. ŽO zbirno'!H119</f>
        <v>0</v>
      </c>
      <c r="L119" s="33">
        <v>1097</v>
      </c>
      <c r="M119" s="87"/>
      <c r="N119" s="34">
        <f t="shared" si="2"/>
        <v>5119</v>
      </c>
      <c r="P119" s="116"/>
      <c r="Q119" s="100">
        <f t="shared" si="3"/>
        <v>0</v>
      </c>
    </row>
    <row r="120" spans="1:17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7">
        <f>IF((G116+G118-G117-G119)&gt;0,(G116+G118-G117-G119),0)</f>
        <v>327733</v>
      </c>
      <c r="H120" s="87"/>
      <c r="I120" s="208"/>
      <c r="J120" s="208">
        <f>G120-'12. NZZ'!G120-'3. ŽO zbirno'!G120</f>
        <v>-192858</v>
      </c>
      <c r="K120" s="197">
        <f>H120-'12. NZZ'!H120-'3. ŽO zbirno'!H120</f>
        <v>0</v>
      </c>
      <c r="L120" s="33">
        <v>1098</v>
      </c>
      <c r="M120" s="87"/>
      <c r="N120" s="34">
        <f t="shared" si="2"/>
        <v>327733</v>
      </c>
      <c r="P120" s="116"/>
      <c r="Q120" s="100">
        <f t="shared" si="3"/>
        <v>0</v>
      </c>
    </row>
    <row r="121" spans="1:17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7">
        <f>IF((G116+G118-G117-G119)&lt;0,-(G116+G118-G117-G119),0)</f>
        <v>0</v>
      </c>
      <c r="H121" s="87">
        <f>H117+H119-H116-H118</f>
        <v>1381997</v>
      </c>
      <c r="I121" s="208"/>
      <c r="J121" s="208">
        <f>G121-'12. NZZ'!G121-'3. ŽO zbirno'!G121</f>
        <v>-192858</v>
      </c>
      <c r="K121" s="197">
        <f>H121-'12. NZZ'!H121-'3. ŽO zbirno'!H121</f>
        <v>1381997</v>
      </c>
      <c r="L121" s="33">
        <v>1099</v>
      </c>
      <c r="M121" s="87"/>
      <c r="N121" s="34">
        <f t="shared" si="2"/>
        <v>0</v>
      </c>
      <c r="P121" s="116">
        <v>1381997</v>
      </c>
      <c r="Q121" s="100">
        <f t="shared" si="3"/>
        <v>0</v>
      </c>
    </row>
    <row r="122" spans="1:17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88">
        <v>0</v>
      </c>
      <c r="H122" s="88">
        <v>0</v>
      </c>
      <c r="I122" s="209"/>
      <c r="J122" s="208">
        <f>G122-'12. NZZ'!G122-'3. ŽO zbirno'!G122</f>
        <v>0</v>
      </c>
      <c r="K122" s="197">
        <f>H122-'12. NZZ'!H122-'3. ŽO zbirno'!H122</f>
        <v>0</v>
      </c>
      <c r="L122" s="43"/>
      <c r="M122" s="88"/>
      <c r="N122" s="45">
        <f t="shared" si="2"/>
        <v>0</v>
      </c>
      <c r="P122" s="116">
        <v>0</v>
      </c>
      <c r="Q122" s="100">
        <f t="shared" si="3"/>
        <v>0</v>
      </c>
    </row>
    <row r="123" spans="1:17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88">
        <v>0</v>
      </c>
      <c r="H123" s="88"/>
      <c r="I123" s="209"/>
      <c r="J123" s="208">
        <f>G123-'12. NZZ'!G123-'3. ŽO zbirno'!G123</f>
        <v>0</v>
      </c>
      <c r="K123" s="197">
        <f>H123-'12. NZZ'!H123-'3. ŽO zbirno'!H123</f>
        <v>0</v>
      </c>
      <c r="L123" s="33">
        <v>1100</v>
      </c>
      <c r="M123" s="88"/>
      <c r="N123" s="34">
        <f t="shared" si="2"/>
        <v>0</v>
      </c>
      <c r="P123" s="116"/>
      <c r="Q123" s="100">
        <f t="shared" si="3"/>
        <v>0</v>
      </c>
    </row>
    <row r="124" spans="1:17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88">
        <v>42585</v>
      </c>
      <c r="H124" s="88">
        <v>8054</v>
      </c>
      <c r="I124" s="209"/>
      <c r="J124" s="208">
        <f>G124-'12. NZZ'!G124-'3. ŽO zbirno'!G124</f>
        <v>0</v>
      </c>
      <c r="K124" s="197">
        <f>H124-'12. NZZ'!H124-'3. ŽO zbirno'!H124</f>
        <v>8054</v>
      </c>
      <c r="L124" s="33">
        <v>1101</v>
      </c>
      <c r="M124" s="88"/>
      <c r="N124" s="34">
        <f t="shared" si="2"/>
        <v>42585</v>
      </c>
      <c r="P124" s="116">
        <v>8054</v>
      </c>
      <c r="Q124" s="100">
        <f t="shared" si="3"/>
        <v>0</v>
      </c>
    </row>
    <row r="125" spans="1:17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88">
        <v>0</v>
      </c>
      <c r="H125" s="88"/>
      <c r="I125" s="209"/>
      <c r="J125" s="208">
        <f>G125-'12. NZZ'!G125-'3. ŽO zbirno'!G125</f>
        <v>0</v>
      </c>
      <c r="K125" s="197">
        <f>H125-'12. NZZ'!H125-'3. ŽO zbirno'!H125</f>
        <v>0</v>
      </c>
      <c r="L125" s="33">
        <v>1102</v>
      </c>
      <c r="M125" s="88"/>
      <c r="N125" s="34">
        <f t="shared" si="2"/>
        <v>0</v>
      </c>
      <c r="P125" s="116"/>
      <c r="Q125" s="100">
        <f t="shared" si="3"/>
        <v>0</v>
      </c>
    </row>
    <row r="126" spans="1:17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90">
        <f>IF((G120-G121-G123+G124-G125)&gt;0,G120-G121-G123+G124-G125,"0")</f>
        <v>370318</v>
      </c>
      <c r="H126" s="90" t="str">
        <f>IF((H120-H121-H123+H124-H125)&gt;0,H120-H121-H123+H124-H125,"0")</f>
        <v>0</v>
      </c>
      <c r="I126" s="210"/>
      <c r="J126" s="208">
        <f>G126-'12. NZZ'!G126-'3. ŽO zbirno'!G126</f>
        <v>-192858</v>
      </c>
      <c r="K126" s="197">
        <f>H126-'12. NZZ'!H126-'3. ŽO zbirno'!H126</f>
        <v>0</v>
      </c>
      <c r="L126" s="33">
        <v>1103</v>
      </c>
      <c r="M126" s="90"/>
      <c r="N126" s="34">
        <f t="shared" si="2"/>
        <v>370318</v>
      </c>
      <c r="P126" s="116" t="s">
        <v>330</v>
      </c>
      <c r="Q126" s="100">
        <f t="shared" si="3"/>
        <v>0</v>
      </c>
    </row>
    <row r="127" spans="1:17">
      <c r="A127" s="29"/>
      <c r="B127" s="27"/>
      <c r="C127" s="27"/>
      <c r="D127" s="53" t="s">
        <v>272</v>
      </c>
      <c r="E127" s="29" t="s">
        <v>284</v>
      </c>
      <c r="F127" s="30"/>
      <c r="G127" s="86">
        <v>0</v>
      </c>
      <c r="H127" s="86"/>
      <c r="I127" s="208"/>
      <c r="J127" s="208">
        <f>G127-'12. NZZ'!G127-'3. ŽO zbirno'!G127</f>
        <v>0</v>
      </c>
      <c r="K127" s="197">
        <f>H127-'12. NZZ'!H127-'3. ŽO zbirno'!H127</f>
        <v>0</v>
      </c>
      <c r="L127" s="33">
        <v>1104</v>
      </c>
      <c r="M127" s="86"/>
      <c r="N127" s="34">
        <f t="shared" si="2"/>
        <v>0</v>
      </c>
      <c r="P127" s="116"/>
      <c r="Q127" s="100">
        <f t="shared" si="3"/>
        <v>0</v>
      </c>
    </row>
    <row r="128" spans="1:17">
      <c r="A128" s="29"/>
      <c r="B128" s="27"/>
      <c r="C128" s="27"/>
      <c r="D128" s="53" t="s">
        <v>273</v>
      </c>
      <c r="E128" s="29" t="s">
        <v>285</v>
      </c>
      <c r="F128" s="30"/>
      <c r="G128" s="86">
        <v>0</v>
      </c>
      <c r="H128" s="86"/>
      <c r="I128" s="208"/>
      <c r="J128" s="208">
        <f>G128-'12. NZZ'!G128-'3. ŽO zbirno'!G128</f>
        <v>0</v>
      </c>
      <c r="K128" s="197">
        <f>H128-'12. NZZ'!H128-'3. ŽO zbirno'!H128</f>
        <v>0</v>
      </c>
      <c r="L128" s="33">
        <v>1105</v>
      </c>
      <c r="M128" s="86"/>
      <c r="N128" s="34">
        <f t="shared" si="2"/>
        <v>0</v>
      </c>
      <c r="P128" s="116"/>
      <c r="Q128" s="100">
        <f t="shared" si="3"/>
        <v>0</v>
      </c>
    </row>
    <row r="129" spans="1:17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90" t="s">
        <v>330</v>
      </c>
      <c r="H129" s="90">
        <f>H121-H120+H123-H124+H125</f>
        <v>1373943</v>
      </c>
      <c r="I129" s="210"/>
      <c r="J129" s="208">
        <f>G129-'12. NZZ'!G129-'3. ŽO zbirno'!G129</f>
        <v>-192858</v>
      </c>
      <c r="K129" s="197">
        <f>H129-'12. NZZ'!H129-'3. ŽO zbirno'!H129</f>
        <v>1373943</v>
      </c>
      <c r="L129" s="33">
        <v>1106</v>
      </c>
      <c r="M129" s="90"/>
      <c r="N129" s="34">
        <f t="shared" si="2"/>
        <v>0</v>
      </c>
      <c r="P129" s="116">
        <v>1373943</v>
      </c>
      <c r="Q129" s="100">
        <f t="shared" si="3"/>
        <v>0</v>
      </c>
    </row>
    <row r="130" spans="1:17">
      <c r="A130" s="29"/>
      <c r="B130" s="27"/>
      <c r="C130" s="27"/>
      <c r="D130" s="39" t="s">
        <v>274</v>
      </c>
      <c r="E130" s="29" t="s">
        <v>287</v>
      </c>
      <c r="F130" s="30"/>
      <c r="G130" s="88">
        <v>0</v>
      </c>
      <c r="H130" s="88">
        <v>0</v>
      </c>
      <c r="I130" s="209"/>
      <c r="J130" s="208">
        <f>G130-'12. NZZ'!G130-'3. ŽO zbirno'!G130</f>
        <v>0</v>
      </c>
      <c r="K130" s="197">
        <f>H130-'12. NZZ'!H130-'3. ŽO zbirno'!H130</f>
        <v>0</v>
      </c>
      <c r="L130" s="33">
        <v>1107</v>
      </c>
      <c r="M130" s="88"/>
      <c r="N130" s="34">
        <f t="shared" si="2"/>
        <v>0</v>
      </c>
      <c r="P130" s="116">
        <v>0</v>
      </c>
      <c r="Q130" s="100">
        <f t="shared" si="3"/>
        <v>0</v>
      </c>
    </row>
    <row r="131" spans="1:17">
      <c r="A131" s="29"/>
      <c r="B131" s="27"/>
      <c r="C131" s="27"/>
      <c r="D131" s="39" t="s">
        <v>275</v>
      </c>
      <c r="E131" s="29" t="s">
        <v>288</v>
      </c>
      <c r="F131" s="30"/>
      <c r="G131" s="88">
        <v>0</v>
      </c>
      <c r="H131" s="88">
        <v>0</v>
      </c>
      <c r="I131" s="209"/>
      <c r="J131" s="208">
        <f>G131-'12. NZZ'!G131-'3. ŽO zbirno'!G131</f>
        <v>0</v>
      </c>
      <c r="K131" s="197">
        <f>H131-'12. NZZ'!H131-'3. ŽO zbirno'!H131</f>
        <v>0</v>
      </c>
      <c r="L131" s="33">
        <v>1108</v>
      </c>
      <c r="M131" s="88"/>
      <c r="N131" s="34">
        <f t="shared" si="2"/>
        <v>0</v>
      </c>
      <c r="P131" s="116">
        <v>0</v>
      </c>
      <c r="Q131" s="100">
        <f t="shared" si="3"/>
        <v>0</v>
      </c>
    </row>
    <row r="132" spans="1:17">
      <c r="A132" s="29"/>
      <c r="B132" s="27" t="s">
        <v>93</v>
      </c>
      <c r="C132" s="27"/>
      <c r="D132" s="28" t="s">
        <v>94</v>
      </c>
      <c r="E132" s="29"/>
      <c r="F132" s="30"/>
      <c r="G132" s="88">
        <v>0</v>
      </c>
      <c r="H132" s="88">
        <v>0</v>
      </c>
      <c r="I132" s="209"/>
      <c r="J132" s="208">
        <f>G132-'12. NZZ'!G132-'3. ŽO zbirno'!G132</f>
        <v>0</v>
      </c>
      <c r="K132" s="197">
        <f>H132-'12. NZZ'!H132-'3. ŽO zbirno'!H132</f>
        <v>0</v>
      </c>
      <c r="L132" s="33">
        <v>1109</v>
      </c>
      <c r="M132" s="88"/>
      <c r="N132" s="34">
        <f t="shared" si="2"/>
        <v>0</v>
      </c>
      <c r="P132" s="116">
        <v>0</v>
      </c>
      <c r="Q132" s="100">
        <f t="shared" si="3"/>
        <v>0</v>
      </c>
    </row>
    <row r="133" spans="1:17">
      <c r="A133" s="29"/>
      <c r="B133" s="27"/>
      <c r="C133" s="27"/>
      <c r="D133" s="39" t="s">
        <v>276</v>
      </c>
      <c r="E133" s="29" t="s">
        <v>289</v>
      </c>
      <c r="F133" s="30"/>
      <c r="G133" s="88">
        <v>0</v>
      </c>
      <c r="H133" s="88">
        <v>0</v>
      </c>
      <c r="I133" s="209"/>
      <c r="J133" s="208">
        <f>G133-'12. NZZ'!G133-'3. ŽO zbirno'!G133</f>
        <v>0</v>
      </c>
      <c r="K133" s="197">
        <f>H133-'12. NZZ'!H133-'3. ŽO zbirno'!H133</f>
        <v>0</v>
      </c>
      <c r="L133" s="33">
        <v>1110</v>
      </c>
      <c r="M133" s="88"/>
      <c r="N133" s="34">
        <f t="shared" si="2"/>
        <v>0</v>
      </c>
      <c r="P133" s="116">
        <v>0</v>
      </c>
      <c r="Q133" s="100">
        <f t="shared" si="3"/>
        <v>0</v>
      </c>
    </row>
    <row r="134" spans="1:17" ht="25.5">
      <c r="A134" s="29"/>
      <c r="B134" s="27"/>
      <c r="C134" s="27"/>
      <c r="D134" s="39" t="s">
        <v>277</v>
      </c>
      <c r="E134" s="29" t="s">
        <v>290</v>
      </c>
      <c r="F134" s="30"/>
      <c r="G134" s="88">
        <v>0</v>
      </c>
      <c r="H134" s="88">
        <v>0</v>
      </c>
      <c r="I134" s="209"/>
      <c r="J134" s="208">
        <f>G134-'12. NZZ'!G134-'3. ŽO zbirno'!G134</f>
        <v>0</v>
      </c>
      <c r="K134" s="197">
        <f>H134-'12. NZZ'!H134-'3. ŽO zbirno'!H134</f>
        <v>0</v>
      </c>
      <c r="L134" s="33">
        <v>1111</v>
      </c>
      <c r="M134" s="88"/>
      <c r="N134" s="34">
        <f t="shared" si="2"/>
        <v>0</v>
      </c>
      <c r="P134" s="116">
        <v>0</v>
      </c>
      <c r="Q134" s="100">
        <f t="shared" si="3"/>
        <v>0</v>
      </c>
    </row>
    <row r="135" spans="1:17" ht="13.5" customHeight="1">
      <c r="H135" s="92"/>
      <c r="I135" s="100"/>
      <c r="J135" s="100"/>
      <c r="K135" s="197"/>
      <c r="L135" s="33"/>
      <c r="M135" s="57"/>
      <c r="P135" s="116"/>
    </row>
    <row r="136" spans="1:17">
      <c r="P136" s="116"/>
    </row>
    <row r="137" spans="1:17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I137" s="213"/>
      <c r="J137" s="213"/>
      <c r="P137" s="116"/>
    </row>
    <row r="138" spans="1:17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I138" s="214"/>
      <c r="J138" s="214"/>
      <c r="P138" s="116"/>
    </row>
    <row r="139" spans="1:17">
      <c r="A139" s="1"/>
      <c r="B139" s="2"/>
      <c r="C139" s="58"/>
      <c r="D139" s="59"/>
      <c r="E139" s="60"/>
      <c r="F139" s="60"/>
      <c r="G139" s="61"/>
      <c r="H139" s="61"/>
      <c r="I139" s="215"/>
      <c r="J139" s="215"/>
      <c r="P139" s="116"/>
    </row>
    <row r="140" spans="1:17">
      <c r="A140" s="62"/>
      <c r="B140" s="63"/>
      <c r="C140" s="64"/>
      <c r="D140" s="64"/>
      <c r="E140" s="64"/>
      <c r="F140" s="64"/>
      <c r="G140" s="65"/>
      <c r="H140" s="65"/>
      <c r="I140" s="216"/>
      <c r="J140" s="216"/>
      <c r="P140" s="116"/>
    </row>
    <row r="141" spans="1:17">
      <c r="A141" s="1"/>
      <c r="B141" s="2"/>
      <c r="C141" s="58"/>
      <c r="D141" s="59"/>
      <c r="E141" s="60"/>
      <c r="F141" s="60"/>
      <c r="G141" s="66"/>
      <c r="H141" s="66"/>
      <c r="I141" s="217"/>
      <c r="J141" s="217"/>
      <c r="P141" s="116"/>
    </row>
    <row r="142" spans="1:17">
      <c r="A142" s="1"/>
      <c r="B142" s="2"/>
      <c r="C142" s="58"/>
      <c r="D142" s="59"/>
      <c r="E142" s="60"/>
      <c r="F142" s="60"/>
      <c r="G142" s="61"/>
      <c r="H142" s="61"/>
      <c r="I142" s="215"/>
      <c r="J142" s="215"/>
      <c r="P142" s="116"/>
    </row>
    <row r="143" spans="1:17">
      <c r="A143" s="1"/>
      <c r="B143" s="2"/>
      <c r="C143" s="58"/>
      <c r="D143" s="59"/>
      <c r="E143" s="60"/>
      <c r="F143" s="60"/>
      <c r="G143" s="61"/>
      <c r="H143" s="61"/>
      <c r="I143" s="215"/>
      <c r="J143" s="215"/>
      <c r="P143" s="116"/>
    </row>
    <row r="144" spans="1:17">
      <c r="A144" s="1"/>
      <c r="B144" s="2"/>
      <c r="C144" s="58"/>
      <c r="D144" s="59"/>
      <c r="E144" s="60"/>
      <c r="F144" s="60"/>
      <c r="G144" s="61"/>
      <c r="H144" s="61"/>
      <c r="I144" s="215"/>
      <c r="J144" s="215"/>
      <c r="P144" s="116"/>
    </row>
    <row r="145" spans="1:16">
      <c r="A145" s="1"/>
      <c r="B145" s="2"/>
      <c r="C145" s="58"/>
      <c r="D145" s="59"/>
      <c r="E145" s="60"/>
      <c r="F145" s="60"/>
      <c r="G145" s="61"/>
      <c r="H145" s="61"/>
      <c r="I145" s="215"/>
      <c r="J145" s="215"/>
      <c r="P145" s="116"/>
    </row>
    <row r="146" spans="1:16">
      <c r="A146" s="1"/>
      <c r="B146" s="2"/>
      <c r="C146" s="58"/>
      <c r="D146" s="59"/>
      <c r="E146" s="60"/>
      <c r="F146" s="60"/>
      <c r="G146" s="61"/>
      <c r="H146" s="61"/>
      <c r="I146" s="215"/>
      <c r="J146" s="215"/>
      <c r="P146" s="116"/>
    </row>
    <row r="147" spans="1:16">
      <c r="A147" s="1"/>
      <c r="B147" s="2"/>
      <c r="C147" s="58"/>
      <c r="D147" s="59"/>
      <c r="E147" s="60"/>
      <c r="F147" s="60"/>
      <c r="G147" s="61"/>
      <c r="H147" s="61"/>
      <c r="I147" s="215"/>
      <c r="J147" s="215"/>
      <c r="P147" s="116"/>
    </row>
    <row r="148" spans="1:16">
      <c r="A148" s="1"/>
      <c r="B148" s="2"/>
      <c r="C148" s="58"/>
      <c r="D148" s="59"/>
      <c r="E148" s="60"/>
      <c r="F148" s="60"/>
      <c r="G148" s="67"/>
      <c r="H148" s="61"/>
      <c r="I148" s="215"/>
      <c r="J148" s="215"/>
      <c r="P148" s="116"/>
    </row>
    <row r="149" spans="1:16">
      <c r="A149" s="1"/>
      <c r="B149" s="2"/>
      <c r="C149" s="58"/>
      <c r="D149" s="59"/>
      <c r="E149" s="60"/>
      <c r="F149" s="60"/>
      <c r="G149" s="61"/>
      <c r="H149" s="61"/>
      <c r="I149" s="215"/>
      <c r="J149" s="215"/>
      <c r="P149" s="116"/>
    </row>
    <row r="150" spans="1:16">
      <c r="A150" s="1"/>
      <c r="B150" s="2"/>
      <c r="C150" s="58"/>
      <c r="D150" s="59"/>
      <c r="E150" s="60"/>
      <c r="F150" s="60"/>
      <c r="G150" s="61"/>
      <c r="H150" s="61"/>
      <c r="I150" s="215"/>
      <c r="J150" s="215"/>
      <c r="P150" s="116"/>
    </row>
    <row r="151" spans="1:16">
      <c r="A151" s="1"/>
      <c r="B151" s="2"/>
      <c r="C151" s="58"/>
      <c r="D151" s="59"/>
      <c r="E151" s="60"/>
      <c r="F151" s="60"/>
      <c r="G151" s="61"/>
      <c r="H151" s="61"/>
      <c r="I151" s="215"/>
      <c r="J151" s="215"/>
      <c r="P151" s="116"/>
    </row>
    <row r="152" spans="1:16">
      <c r="A152" s="1"/>
      <c r="B152" s="2"/>
      <c r="C152" s="58"/>
      <c r="D152" s="59"/>
      <c r="E152" s="60"/>
      <c r="F152" s="60"/>
      <c r="G152" s="61"/>
      <c r="H152" s="61"/>
      <c r="I152" s="215"/>
      <c r="J152" s="215"/>
      <c r="P152" s="116"/>
    </row>
    <row r="153" spans="1:16">
      <c r="A153" s="1"/>
      <c r="B153" s="2"/>
      <c r="C153" s="58"/>
      <c r="D153" s="59"/>
      <c r="E153" s="60"/>
      <c r="F153" s="60"/>
      <c r="G153" s="61"/>
      <c r="H153" s="61"/>
      <c r="I153" s="215"/>
      <c r="J153" s="215"/>
      <c r="P153" s="116"/>
    </row>
    <row r="154" spans="1:16">
      <c r="A154" s="1"/>
      <c r="B154" s="2"/>
      <c r="C154" s="58"/>
      <c r="D154" s="59"/>
      <c r="E154" s="60"/>
      <c r="F154" s="60"/>
      <c r="G154" s="61"/>
      <c r="H154" s="61"/>
      <c r="I154" s="215"/>
      <c r="J154" s="215"/>
      <c r="P154" s="116"/>
    </row>
    <row r="155" spans="1:16">
      <c r="A155" s="1"/>
      <c r="B155" s="2"/>
      <c r="C155" s="58"/>
      <c r="D155" s="59"/>
      <c r="E155" s="60"/>
      <c r="F155" s="60"/>
      <c r="G155" s="61"/>
      <c r="H155" s="61"/>
      <c r="I155" s="215"/>
      <c r="J155" s="215"/>
      <c r="P155" s="116"/>
    </row>
    <row r="156" spans="1:16">
      <c r="A156" s="1"/>
      <c r="B156" s="2"/>
      <c r="C156" s="58"/>
      <c r="D156" s="59"/>
      <c r="E156" s="60"/>
      <c r="F156" s="60"/>
      <c r="G156" s="61"/>
      <c r="H156" s="61"/>
      <c r="I156" s="215"/>
      <c r="J156" s="215"/>
      <c r="P156" s="116"/>
    </row>
    <row r="157" spans="1:16">
      <c r="A157" s="1"/>
      <c r="B157" s="2"/>
      <c r="C157" s="58"/>
      <c r="D157" s="59"/>
      <c r="E157" s="60"/>
      <c r="F157" s="60"/>
      <c r="G157" s="61"/>
      <c r="H157" s="61"/>
      <c r="I157" s="215"/>
      <c r="J157" s="215"/>
      <c r="P157" s="116"/>
    </row>
    <row r="158" spans="1:16">
      <c r="A158" s="1"/>
      <c r="B158" s="2"/>
      <c r="C158" s="58"/>
      <c r="D158" s="59"/>
      <c r="E158" s="60"/>
      <c r="F158" s="60"/>
      <c r="G158" s="61"/>
      <c r="H158" s="61"/>
      <c r="I158" s="215"/>
      <c r="J158" s="215"/>
      <c r="P158" s="116"/>
    </row>
    <row r="159" spans="1:16">
      <c r="A159" s="1"/>
      <c r="B159" s="2"/>
      <c r="C159" s="58"/>
      <c r="D159" s="59"/>
      <c r="E159" s="60"/>
      <c r="F159" s="60"/>
      <c r="G159" s="61"/>
      <c r="H159" s="61"/>
      <c r="I159" s="215"/>
      <c r="J159" s="215"/>
      <c r="P159" s="116"/>
    </row>
    <row r="160" spans="1:16">
      <c r="A160" s="1"/>
      <c r="B160" s="2"/>
      <c r="C160" s="58"/>
      <c r="D160" s="59"/>
      <c r="E160" s="60"/>
      <c r="F160" s="60"/>
      <c r="G160" s="61"/>
      <c r="H160" s="61"/>
      <c r="I160" s="215"/>
      <c r="J160" s="215"/>
      <c r="P160" s="116"/>
    </row>
    <row r="161" spans="1:16">
      <c r="A161" s="1"/>
      <c r="B161" s="2"/>
      <c r="C161" s="58"/>
      <c r="D161" s="59"/>
      <c r="E161" s="60"/>
      <c r="F161" s="60"/>
      <c r="G161" s="61"/>
      <c r="H161" s="61"/>
      <c r="I161" s="215"/>
      <c r="J161" s="215"/>
      <c r="P161" s="116"/>
    </row>
    <row r="162" spans="1:16">
      <c r="A162" s="1"/>
      <c r="B162" s="2"/>
      <c r="C162" s="58"/>
      <c r="D162" s="59"/>
      <c r="E162" s="60"/>
      <c r="F162" s="60"/>
      <c r="G162" s="61"/>
      <c r="H162" s="61"/>
      <c r="I162" s="215"/>
      <c r="J162" s="215"/>
      <c r="P162" s="116"/>
    </row>
    <row r="163" spans="1:16">
      <c r="A163" s="1"/>
      <c r="B163" s="2"/>
      <c r="C163" s="58"/>
      <c r="D163" s="59"/>
      <c r="E163" s="60"/>
      <c r="F163" s="60"/>
      <c r="G163" s="61"/>
      <c r="H163" s="61"/>
      <c r="I163" s="215"/>
      <c r="J163" s="215"/>
      <c r="P163" s="116"/>
    </row>
    <row r="164" spans="1:16">
      <c r="A164" s="1"/>
      <c r="B164" s="2"/>
      <c r="C164" s="58"/>
      <c r="D164" s="59"/>
      <c r="E164" s="60"/>
      <c r="F164" s="60"/>
      <c r="G164" s="61"/>
      <c r="H164" s="61"/>
      <c r="I164" s="215"/>
      <c r="J164" s="215"/>
      <c r="P164" s="116"/>
    </row>
    <row r="165" spans="1:16">
      <c r="A165" s="1"/>
      <c r="B165" s="2"/>
      <c r="C165" s="58"/>
      <c r="D165" s="59"/>
      <c r="E165" s="60"/>
      <c r="F165" s="60"/>
      <c r="G165" s="61"/>
      <c r="H165" s="61"/>
      <c r="I165" s="215"/>
      <c r="J165" s="215"/>
      <c r="P165" s="116"/>
    </row>
    <row r="166" spans="1:16">
      <c r="A166" s="1"/>
      <c r="B166" s="2"/>
      <c r="C166" s="3"/>
      <c r="D166" s="68"/>
      <c r="E166" s="4"/>
      <c r="F166" s="4"/>
      <c r="P166" s="116"/>
    </row>
    <row r="167" spans="1:16">
      <c r="A167" s="1"/>
      <c r="B167" s="2"/>
      <c r="C167" s="3"/>
      <c r="D167" s="68"/>
      <c r="E167" s="4"/>
      <c r="F167" s="4"/>
      <c r="P167" s="116"/>
    </row>
    <row r="168" spans="1:16">
      <c r="A168" s="1"/>
      <c r="B168" s="2"/>
      <c r="C168" s="3"/>
      <c r="D168" s="68"/>
      <c r="E168" s="4"/>
      <c r="F168" s="4"/>
      <c r="P168" s="116"/>
    </row>
    <row r="169" spans="1:16">
      <c r="A169" s="1"/>
      <c r="B169" s="2"/>
      <c r="C169" s="3"/>
      <c r="D169" s="68"/>
      <c r="E169" s="4"/>
      <c r="F169" s="4"/>
      <c r="P169" s="116"/>
    </row>
    <row r="170" spans="1:16">
      <c r="A170" s="1"/>
      <c r="B170" s="2"/>
      <c r="C170" s="3"/>
      <c r="D170" s="68"/>
      <c r="E170" s="4"/>
      <c r="F170" s="4"/>
      <c r="P170" s="116"/>
    </row>
    <row r="171" spans="1:16">
      <c r="A171" s="1"/>
      <c r="B171" s="2"/>
      <c r="C171" s="3"/>
      <c r="D171" s="68"/>
      <c r="E171" s="4"/>
      <c r="F171" s="4"/>
      <c r="P171" s="116"/>
    </row>
    <row r="172" spans="1:16">
      <c r="A172" s="1"/>
      <c r="B172" s="2"/>
      <c r="C172" s="3"/>
      <c r="D172" s="68"/>
      <c r="E172" s="4"/>
      <c r="F172" s="4"/>
      <c r="P172" s="116"/>
    </row>
    <row r="173" spans="1:16">
      <c r="A173" s="1"/>
      <c r="B173" s="2"/>
      <c r="C173" s="3"/>
      <c r="D173" s="68"/>
      <c r="E173" s="4"/>
      <c r="F173" s="4"/>
      <c r="P173" s="116"/>
    </row>
    <row r="174" spans="1:16">
      <c r="A174" s="1"/>
      <c r="B174" s="2"/>
      <c r="C174" s="3"/>
      <c r="D174" s="68"/>
      <c r="E174" s="4"/>
      <c r="F174" s="4"/>
      <c r="P174" s="116"/>
    </row>
    <row r="175" spans="1:16">
      <c r="A175" s="1"/>
      <c r="B175" s="2"/>
      <c r="C175" s="3"/>
      <c r="D175" s="68"/>
      <c r="E175" s="4"/>
      <c r="F175" s="4"/>
      <c r="P175" s="116"/>
    </row>
    <row r="176" spans="1:16">
      <c r="A176" s="1"/>
      <c r="B176" s="2"/>
      <c r="C176" s="3"/>
      <c r="D176" s="68"/>
      <c r="E176" s="4"/>
      <c r="F176" s="4"/>
      <c r="P176" s="116"/>
    </row>
    <row r="177" spans="1:16">
      <c r="A177" s="1"/>
      <c r="B177" s="2"/>
      <c r="C177" s="3"/>
      <c r="D177" s="68"/>
      <c r="E177" s="4"/>
      <c r="F177" s="4"/>
      <c r="P177" s="116"/>
    </row>
    <row r="178" spans="1:16">
      <c r="A178" s="1"/>
      <c r="B178" s="2"/>
      <c r="C178" s="3"/>
      <c r="D178" s="68"/>
      <c r="E178" s="4"/>
      <c r="F178" s="4"/>
      <c r="P178" s="116"/>
    </row>
    <row r="179" spans="1:16">
      <c r="A179" s="1"/>
      <c r="B179" s="2"/>
      <c r="C179" s="3"/>
      <c r="D179" s="68"/>
      <c r="E179" s="4"/>
      <c r="F179" s="4"/>
      <c r="P179" s="116"/>
    </row>
    <row r="180" spans="1:16">
      <c r="A180" s="1"/>
      <c r="B180" s="2"/>
      <c r="C180" s="3"/>
      <c r="D180" s="68"/>
      <c r="E180" s="4"/>
      <c r="F180" s="4"/>
      <c r="P180" s="116"/>
    </row>
    <row r="181" spans="1:16">
      <c r="A181" s="1"/>
      <c r="B181" s="2"/>
      <c r="C181" s="3"/>
      <c r="D181" s="68"/>
      <c r="E181" s="4"/>
      <c r="F181" s="4"/>
      <c r="P181" s="116"/>
    </row>
    <row r="182" spans="1:16">
      <c r="A182" s="1"/>
      <c r="B182" s="2"/>
      <c r="C182" s="3"/>
      <c r="D182" s="68"/>
      <c r="E182" s="4"/>
      <c r="F182" s="4"/>
      <c r="P182" s="116"/>
    </row>
    <row r="183" spans="1:16">
      <c r="A183" s="1"/>
      <c r="B183" s="2"/>
      <c r="C183" s="3"/>
      <c r="D183" s="68"/>
      <c r="E183" s="4"/>
      <c r="F183" s="4"/>
      <c r="P183" s="116"/>
    </row>
    <row r="184" spans="1:16">
      <c r="A184" s="1"/>
      <c r="B184" s="2"/>
      <c r="C184" s="3"/>
      <c r="D184" s="68"/>
      <c r="E184" s="4"/>
      <c r="F184" s="4"/>
      <c r="P184" s="116"/>
    </row>
    <row r="185" spans="1:16">
      <c r="A185" s="1"/>
      <c r="B185" s="2"/>
      <c r="C185" s="3"/>
      <c r="D185" s="68"/>
      <c r="E185" s="4"/>
      <c r="F185" s="4"/>
      <c r="P185" s="116"/>
    </row>
    <row r="186" spans="1:16">
      <c r="A186" s="1"/>
      <c r="B186" s="2"/>
      <c r="C186" s="3"/>
      <c r="D186" s="68"/>
      <c r="E186" s="4"/>
      <c r="F186" s="4"/>
      <c r="P186" s="116"/>
    </row>
    <row r="187" spans="1:16">
      <c r="A187" s="1"/>
      <c r="B187" s="2"/>
      <c r="C187" s="3"/>
      <c r="D187" s="68"/>
      <c r="E187" s="4"/>
      <c r="F187" s="4"/>
      <c r="P187" s="116"/>
    </row>
    <row r="188" spans="1:16">
      <c r="A188" s="1"/>
      <c r="B188" s="2"/>
      <c r="C188" s="3"/>
      <c r="D188" s="68"/>
      <c r="E188" s="4"/>
      <c r="F188" s="4"/>
    </row>
    <row r="189" spans="1:16">
      <c r="A189" s="1"/>
      <c r="B189" s="2"/>
      <c r="C189" s="3"/>
      <c r="D189" s="68"/>
      <c r="E189" s="4"/>
      <c r="F189" s="4"/>
    </row>
    <row r="190" spans="1:16">
      <c r="A190" s="1"/>
      <c r="B190" s="2"/>
      <c r="C190" s="3"/>
      <c r="D190" s="68"/>
      <c r="E190" s="4"/>
      <c r="F190" s="4"/>
    </row>
    <row r="191" spans="1:16">
      <c r="A191" s="1"/>
      <c r="B191" s="2"/>
      <c r="C191" s="3"/>
      <c r="D191" s="68"/>
      <c r="E191" s="4"/>
      <c r="F191" s="4"/>
    </row>
    <row r="192" spans="1:16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B20:D20"/>
    <mergeCell ref="A137:C137"/>
    <mergeCell ref="D137:F137"/>
    <mergeCell ref="G137:H137"/>
    <mergeCell ref="A138:C138"/>
    <mergeCell ref="D138:F138"/>
    <mergeCell ref="G138:H138"/>
    <mergeCell ref="A12:D12"/>
    <mergeCell ref="A14:H14"/>
    <mergeCell ref="A15:H15"/>
    <mergeCell ref="A16:H16"/>
    <mergeCell ref="G17:H17"/>
    <mergeCell ref="A18:A19"/>
    <mergeCell ref="B18:D19"/>
    <mergeCell ref="E18:E19"/>
    <mergeCell ref="F18:F19"/>
    <mergeCell ref="G18:H18"/>
    <mergeCell ref="A11:G11"/>
    <mergeCell ref="A2:D2"/>
    <mergeCell ref="A3:D3"/>
    <mergeCell ref="A4:D4"/>
    <mergeCell ref="A5:D5"/>
    <mergeCell ref="A6:D6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171450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16"/>
  <sheetViews>
    <sheetView topLeftCell="AG1" zoomScale="130" zoomScaleNormal="130" workbookViewId="0">
      <selection activeCell="BH3" sqref="BH3"/>
    </sheetView>
  </sheetViews>
  <sheetFormatPr defaultRowHeight="11.25"/>
  <cols>
    <col min="1" max="1" width="5.85546875" style="117" hidden="1" customWidth="1"/>
    <col min="2" max="2" width="9.140625" style="121" hidden="1" customWidth="1"/>
    <col min="3" max="3" width="27.85546875" style="119" hidden="1" customWidth="1"/>
    <col min="4" max="4" width="0.42578125" style="118" hidden="1" customWidth="1"/>
    <col min="5" max="5" width="9.7109375" style="117" hidden="1" customWidth="1"/>
    <col min="6" max="6" width="0.42578125" style="118" hidden="1" customWidth="1"/>
    <col min="7" max="7" width="9.5703125" style="117" hidden="1" customWidth="1"/>
    <col min="8" max="8" width="0.42578125" style="118" hidden="1" customWidth="1"/>
    <col min="9" max="9" width="9.5703125" style="117" hidden="1" customWidth="1"/>
    <col min="10" max="10" width="0.42578125" style="118" hidden="1" customWidth="1"/>
    <col min="11" max="11" width="9.5703125" style="117" hidden="1" customWidth="1"/>
    <col min="12" max="12" width="0.42578125" style="118" hidden="1" customWidth="1"/>
    <col min="13" max="13" width="9.5703125" style="117" hidden="1" customWidth="1"/>
    <col min="14" max="14" width="0.42578125" style="118" hidden="1" customWidth="1"/>
    <col min="15" max="15" width="9.5703125" style="117" hidden="1" customWidth="1"/>
    <col min="16" max="16" width="0.42578125" style="118" hidden="1" customWidth="1"/>
    <col min="17" max="17" width="9.5703125" style="117" hidden="1" customWidth="1"/>
    <col min="18" max="18" width="0.42578125" style="118" hidden="1" customWidth="1"/>
    <col min="19" max="19" width="9.5703125" style="117" hidden="1" customWidth="1"/>
    <col min="20" max="20" width="0.42578125" style="118" hidden="1" customWidth="1"/>
    <col min="21" max="21" width="11.28515625" style="117" hidden="1" customWidth="1"/>
    <col min="22" max="22" width="0.42578125" style="118" hidden="1" customWidth="1"/>
    <col min="23" max="23" width="9.5703125" style="117" hidden="1" customWidth="1"/>
    <col min="24" max="24" width="0.42578125" style="118" hidden="1" customWidth="1"/>
    <col min="25" max="25" width="9.85546875" style="117" hidden="1" customWidth="1"/>
    <col min="26" max="26" width="0.42578125" style="118" hidden="1" customWidth="1"/>
    <col min="27" max="27" width="9.85546875" style="117" hidden="1" customWidth="1"/>
    <col min="28" max="28" width="0.42578125" style="118" hidden="1" customWidth="1"/>
    <col min="29" max="29" width="11.5703125" style="117" hidden="1" customWidth="1"/>
    <col min="30" max="30" width="12.140625" style="109" hidden="1" customWidth="1"/>
    <col min="31" max="31" width="8.42578125" style="123" hidden="1" customWidth="1"/>
    <col min="32" max="32" width="5.42578125" style="117" hidden="1" customWidth="1"/>
    <col min="33" max="33" width="36.5703125" style="119" customWidth="1"/>
    <col min="34" max="34" width="5.42578125" style="252" customWidth="1"/>
    <col min="35" max="35" width="8.7109375" style="117" customWidth="1"/>
    <col min="36" max="36" width="1.42578125" style="117" customWidth="1"/>
    <col min="37" max="37" width="8.7109375" style="117" customWidth="1"/>
    <col min="38" max="38" width="1.42578125" style="117" customWidth="1"/>
    <col min="39" max="39" width="8.7109375" style="117" customWidth="1"/>
    <col min="40" max="40" width="1.42578125" style="117" customWidth="1"/>
    <col min="41" max="41" width="8.7109375" style="117" customWidth="1"/>
    <col min="42" max="42" width="1.42578125" style="117" customWidth="1"/>
    <col min="43" max="43" width="8.7109375" style="117" customWidth="1"/>
    <col min="44" max="44" width="1.42578125" style="117" customWidth="1"/>
    <col min="45" max="45" width="8.7109375" style="117" customWidth="1"/>
    <col min="46" max="46" width="1.42578125" style="117" customWidth="1"/>
    <col min="47" max="47" width="8.7109375" style="117" customWidth="1"/>
    <col min="48" max="48" width="1.42578125" style="117" customWidth="1"/>
    <col min="49" max="49" width="8.7109375" style="117" customWidth="1"/>
    <col min="50" max="50" width="1.42578125" style="117" customWidth="1"/>
    <col min="51" max="51" width="8.7109375" style="117" customWidth="1"/>
    <col min="52" max="52" width="1.42578125" style="117" customWidth="1"/>
    <col min="53" max="53" width="8.7109375" style="117" customWidth="1"/>
    <col min="54" max="54" width="1.42578125" style="117" customWidth="1"/>
    <col min="55" max="55" width="8.7109375" style="117" customWidth="1"/>
    <col min="56" max="56" width="1.42578125" style="117" customWidth="1"/>
    <col min="57" max="57" width="8.7109375" style="117" customWidth="1"/>
    <col min="58" max="58" width="1.42578125" style="117" customWidth="1"/>
    <col min="59" max="59" width="8.7109375" style="117" customWidth="1"/>
    <col min="60" max="62" width="9.140625" style="123" customWidth="1"/>
    <col min="63" max="63" width="9.140625" style="117" hidden="1" customWidth="1"/>
    <col min="64" max="64" width="1.42578125" style="117" hidden="1" customWidth="1"/>
    <col min="65" max="65" width="9.140625" style="117" hidden="1" customWidth="1"/>
    <col min="66" max="66" width="1.42578125" style="117" hidden="1" customWidth="1"/>
    <col min="67" max="67" width="9.140625" style="117" hidden="1" customWidth="1"/>
    <col min="68" max="68" width="1.42578125" style="117" hidden="1" customWidth="1"/>
    <col min="69" max="69" width="9.140625" style="117" hidden="1" customWidth="1"/>
    <col min="70" max="70" width="1.42578125" style="117" hidden="1" customWidth="1"/>
    <col min="71" max="71" width="9.140625" style="117" hidden="1" customWidth="1"/>
    <col min="72" max="72" width="1.42578125" style="117" hidden="1" customWidth="1"/>
    <col min="73" max="73" width="9.140625" style="117" hidden="1" customWidth="1"/>
    <col min="74" max="74" width="1.42578125" style="117" hidden="1" customWidth="1"/>
    <col min="75" max="75" width="9.140625" style="117" hidden="1" customWidth="1"/>
    <col min="76" max="76" width="1.42578125" style="117" hidden="1" customWidth="1"/>
    <col min="77" max="77" width="9.140625" style="117" hidden="1" customWidth="1"/>
    <col min="78" max="78" width="1.42578125" style="117" hidden="1" customWidth="1"/>
    <col min="79" max="79" width="9.140625" style="117" hidden="1" customWidth="1"/>
    <col min="80" max="80" width="1.42578125" style="117" hidden="1" customWidth="1"/>
    <col min="81" max="81" width="9.140625" style="117" hidden="1" customWidth="1"/>
    <col min="82" max="82" width="1.42578125" style="117" hidden="1" customWidth="1"/>
    <col min="83" max="83" width="9.140625" style="117" hidden="1" customWidth="1"/>
    <col min="84" max="84" width="1.42578125" style="117" hidden="1" customWidth="1"/>
    <col min="85" max="85" width="9.140625" style="117" hidden="1" customWidth="1"/>
    <col min="86" max="86" width="1.42578125" style="117" hidden="1" customWidth="1"/>
    <col min="87" max="87" width="9.140625" style="117" hidden="1" customWidth="1"/>
    <col min="88" max="89" width="9.140625" style="123" hidden="1" customWidth="1"/>
    <col min="90" max="91" width="0" style="117" hidden="1" customWidth="1"/>
    <col min="92" max="16384" width="9.140625" style="117"/>
  </cols>
  <sheetData>
    <row r="1" spans="1:89" ht="12" thickBot="1">
      <c r="C1" s="129" t="s">
        <v>396</v>
      </c>
      <c r="D1" s="175"/>
      <c r="E1" s="129"/>
      <c r="F1" s="175"/>
      <c r="G1" s="129"/>
      <c r="H1" s="175"/>
      <c r="I1" s="129"/>
      <c r="J1" s="175"/>
      <c r="K1" s="129"/>
      <c r="L1" s="175"/>
      <c r="M1" s="129"/>
      <c r="N1" s="175"/>
      <c r="O1" s="129"/>
      <c r="P1" s="175"/>
      <c r="Q1" s="129"/>
      <c r="R1" s="175"/>
      <c r="S1" s="129"/>
      <c r="T1" s="175"/>
      <c r="U1" s="129"/>
      <c r="V1" s="175"/>
      <c r="W1" s="129"/>
      <c r="X1" s="175"/>
      <c r="Y1" s="129"/>
      <c r="Z1" s="175"/>
      <c r="AA1" s="129"/>
      <c r="AB1" s="175"/>
      <c r="AC1" s="129"/>
      <c r="AI1" s="346">
        <v>2015</v>
      </c>
      <c r="AJ1" s="346"/>
      <c r="AK1" s="346"/>
      <c r="AL1" s="346"/>
      <c r="AM1" s="346"/>
      <c r="AN1" s="346"/>
      <c r="AO1" s="346"/>
      <c r="AP1" s="346"/>
      <c r="AQ1" s="346"/>
      <c r="AR1" s="346"/>
      <c r="AS1" s="346"/>
      <c r="AT1" s="346"/>
      <c r="AU1" s="346"/>
      <c r="AV1" s="346"/>
      <c r="AW1" s="346"/>
      <c r="AX1" s="346"/>
      <c r="AY1" s="346"/>
      <c r="AZ1" s="346"/>
      <c r="BA1" s="346"/>
      <c r="BB1" s="346"/>
      <c r="BC1" s="346"/>
      <c r="BD1" s="346"/>
      <c r="BE1" s="346"/>
      <c r="BF1" s="346"/>
      <c r="BG1" s="346"/>
      <c r="BK1" s="346">
        <v>2014</v>
      </c>
      <c r="BL1" s="346"/>
      <c r="BM1" s="346"/>
      <c r="BN1" s="346"/>
      <c r="BO1" s="346"/>
      <c r="BP1" s="346"/>
      <c r="BQ1" s="346"/>
      <c r="BR1" s="346"/>
      <c r="BS1" s="346"/>
      <c r="BT1" s="346"/>
      <c r="BU1" s="346"/>
      <c r="BV1" s="346"/>
      <c r="BW1" s="346"/>
      <c r="BX1" s="346"/>
      <c r="BY1" s="346"/>
      <c r="BZ1" s="346"/>
      <c r="CA1" s="346"/>
      <c r="CB1" s="346"/>
      <c r="CC1" s="346"/>
      <c r="CD1" s="346"/>
      <c r="CE1" s="346"/>
      <c r="CF1" s="346"/>
      <c r="CG1" s="346"/>
      <c r="CH1" s="346"/>
      <c r="CI1" s="346"/>
    </row>
    <row r="2" spans="1:89" ht="60.75" customHeight="1" thickTop="1" thickBot="1">
      <c r="C2" s="131"/>
      <c r="D2" s="176"/>
      <c r="E2" s="133" t="s">
        <v>397</v>
      </c>
      <c r="F2" s="134"/>
      <c r="G2" s="133" t="s">
        <v>398</v>
      </c>
      <c r="H2" s="134"/>
      <c r="I2" s="133" t="s">
        <v>407</v>
      </c>
      <c r="J2" s="134"/>
      <c r="K2" s="134" t="s">
        <v>399</v>
      </c>
      <c r="L2" s="134"/>
      <c r="M2" s="135" t="s">
        <v>400</v>
      </c>
      <c r="N2" s="134"/>
      <c r="O2" s="133" t="s">
        <v>401</v>
      </c>
      <c r="P2" s="134"/>
      <c r="Q2" s="133" t="s">
        <v>402</v>
      </c>
      <c r="R2" s="134"/>
      <c r="S2" s="134" t="s">
        <v>392</v>
      </c>
      <c r="T2" s="134"/>
      <c r="U2" s="134" t="s">
        <v>403</v>
      </c>
      <c r="V2" s="179"/>
      <c r="W2" s="134" t="s">
        <v>404</v>
      </c>
      <c r="X2" s="179"/>
      <c r="Y2" s="133" t="s">
        <v>405</v>
      </c>
      <c r="Z2" s="179"/>
      <c r="AA2" s="134" t="s">
        <v>406</v>
      </c>
      <c r="AB2" s="179"/>
      <c r="AC2" s="133" t="s">
        <v>418</v>
      </c>
      <c r="AE2" s="198" t="s">
        <v>413</v>
      </c>
      <c r="AG2" s="20" t="s">
        <v>11</v>
      </c>
      <c r="AH2" s="253" t="s">
        <v>409</v>
      </c>
      <c r="AI2" s="136" t="s">
        <v>397</v>
      </c>
      <c r="AJ2" s="132"/>
      <c r="AK2" s="136" t="s">
        <v>398</v>
      </c>
      <c r="AL2" s="132"/>
      <c r="AM2" s="136" t="s">
        <v>407</v>
      </c>
      <c r="AN2" s="132"/>
      <c r="AO2" s="136" t="s">
        <v>399</v>
      </c>
      <c r="AP2" s="132"/>
      <c r="AQ2" s="137" t="s">
        <v>400</v>
      </c>
      <c r="AR2" s="132"/>
      <c r="AS2" s="136" t="s">
        <v>401</v>
      </c>
      <c r="AT2" s="132"/>
      <c r="AU2" s="136" t="s">
        <v>402</v>
      </c>
      <c r="AV2" s="132"/>
      <c r="AW2" s="136" t="s">
        <v>392</v>
      </c>
      <c r="AX2" s="132"/>
      <c r="AY2" s="136" t="s">
        <v>403</v>
      </c>
      <c r="AZ2" s="138"/>
      <c r="BA2" s="136" t="s">
        <v>404</v>
      </c>
      <c r="BB2" s="138"/>
      <c r="BC2" s="136" t="s">
        <v>405</v>
      </c>
      <c r="BD2" s="138"/>
      <c r="BE2" s="136" t="s">
        <v>406</v>
      </c>
      <c r="BF2" s="138"/>
      <c r="BG2" s="136" t="s">
        <v>408</v>
      </c>
      <c r="BH2" s="198" t="s">
        <v>424</v>
      </c>
      <c r="BI2" s="198" t="s">
        <v>425</v>
      </c>
      <c r="BJ2" s="198" t="s">
        <v>426</v>
      </c>
      <c r="BK2" s="136" t="s">
        <v>397</v>
      </c>
      <c r="BL2" s="132"/>
      <c r="BM2" s="136" t="s">
        <v>398</v>
      </c>
      <c r="BN2" s="132"/>
      <c r="BO2" s="136" t="s">
        <v>407</v>
      </c>
      <c r="BP2" s="132"/>
      <c r="BQ2" s="136" t="s">
        <v>399</v>
      </c>
      <c r="BR2" s="132"/>
      <c r="BS2" s="137" t="s">
        <v>400</v>
      </c>
      <c r="BT2" s="132"/>
      <c r="BU2" s="136" t="s">
        <v>401</v>
      </c>
      <c r="BV2" s="132"/>
      <c r="BW2" s="136" t="s">
        <v>402</v>
      </c>
      <c r="BX2" s="132"/>
      <c r="BY2" s="136" t="s">
        <v>392</v>
      </c>
      <c r="BZ2" s="132"/>
      <c r="CA2" s="136" t="s">
        <v>403</v>
      </c>
      <c r="CB2" s="138"/>
      <c r="CC2" s="136" t="s">
        <v>404</v>
      </c>
      <c r="CD2" s="138"/>
      <c r="CE2" s="136" t="s">
        <v>405</v>
      </c>
      <c r="CF2" s="138"/>
      <c r="CG2" s="136" t="s">
        <v>406</v>
      </c>
      <c r="CH2" s="138"/>
      <c r="CI2" s="136" t="s">
        <v>408</v>
      </c>
      <c r="CJ2" s="123" t="s">
        <v>413</v>
      </c>
      <c r="CK2" s="123" t="s">
        <v>413</v>
      </c>
    </row>
    <row r="3" spans="1:89" ht="25.5">
      <c r="B3" s="121" t="s">
        <v>409</v>
      </c>
      <c r="C3" s="139" t="s">
        <v>416</v>
      </c>
      <c r="D3" s="176"/>
      <c r="E3" s="138"/>
      <c r="F3" s="176"/>
      <c r="G3" s="138"/>
      <c r="H3" s="176"/>
      <c r="I3" s="138"/>
      <c r="J3" s="176"/>
      <c r="K3" s="140"/>
      <c r="L3" s="176"/>
      <c r="M3" s="138"/>
      <c r="N3" s="176"/>
      <c r="O3" s="138"/>
      <c r="P3" s="176"/>
      <c r="Q3" s="138"/>
      <c r="R3" s="176"/>
      <c r="S3" s="140"/>
      <c r="T3" s="176"/>
      <c r="U3" s="140"/>
      <c r="V3" s="180"/>
      <c r="W3" s="141"/>
      <c r="X3" s="180"/>
      <c r="Y3" s="142"/>
      <c r="Z3" s="180"/>
      <c r="AA3" s="141"/>
      <c r="AB3" s="180"/>
      <c r="AC3" s="142"/>
      <c r="AE3" s="124"/>
      <c r="AG3" s="85" t="s">
        <v>291</v>
      </c>
      <c r="AH3" s="254">
        <v>1001</v>
      </c>
      <c r="AI3" s="218">
        <f>'1. OŽ'!G22</f>
        <v>1204840</v>
      </c>
      <c r="AK3" s="218">
        <f>'2. ŽO osim OŽ'!G22</f>
        <v>96884</v>
      </c>
      <c r="AM3" s="218">
        <f>'3. ŽO zbirno'!G22</f>
        <v>1301724</v>
      </c>
      <c r="AO3" s="218">
        <f>'4. N i DZ'!G22</f>
        <v>1284604</v>
      </c>
      <c r="AQ3" s="218">
        <f>'5. MV'!G22</f>
        <v>1267891</v>
      </c>
      <c r="AS3" s="218">
        <f>'6. PO i TR'!G22</f>
        <v>253580</v>
      </c>
      <c r="AU3" s="218">
        <f>'7. VAZ'!G22</f>
        <v>-279</v>
      </c>
      <c r="AW3" s="218">
        <f>'8. IMOV'!G22</f>
        <v>4515072</v>
      </c>
      <c r="AY3" s="218">
        <f>'9. ODG.'!G22</f>
        <v>9231885</v>
      </c>
      <c r="BA3" s="218">
        <f>'10.KJ'!G22</f>
        <v>49487</v>
      </c>
      <c r="BC3" s="218">
        <f>'11. OST.'!G22</f>
        <v>370257</v>
      </c>
      <c r="BE3" s="218">
        <f>'12. NZZ'!G22</f>
        <v>16972497</v>
      </c>
      <c r="BG3" s="218">
        <f>'13. ukupno'!G22</f>
        <v>18274221</v>
      </c>
      <c r="BH3" s="124">
        <f>AM3-AK3-AI3</f>
        <v>0</v>
      </c>
      <c r="BI3" s="124">
        <f>BE3-BC3-BA3-AY3-AW3-AU3-AS3-AQ3-AO3</f>
        <v>0</v>
      </c>
      <c r="BJ3" s="124">
        <f>BG3-BE3-AM3</f>
        <v>0</v>
      </c>
      <c r="BK3" s="120">
        <f>'1. OŽ'!H22</f>
        <v>0</v>
      </c>
      <c r="BM3" s="120">
        <f>'2. ŽO osim OŽ'!H22</f>
        <v>0</v>
      </c>
      <c r="BO3" s="120">
        <f>'3. ŽO zbirno'!H22</f>
        <v>0</v>
      </c>
      <c r="BQ3" s="120">
        <f>'4. N i DZ'!H22</f>
        <v>1360612</v>
      </c>
      <c r="BS3" s="120">
        <f>'5. MV'!H22</f>
        <v>0</v>
      </c>
      <c r="BU3" s="120">
        <f>'6. PO i TR'!H22</f>
        <v>0</v>
      </c>
      <c r="BW3" s="120">
        <f>'7. VAZ'!H22</f>
        <v>30171</v>
      </c>
      <c r="BY3" s="120">
        <f>'8. IMOV'!H22</f>
        <v>4346866</v>
      </c>
      <c r="CA3" s="120">
        <f>'9. ODG.'!H22</f>
        <v>6357837</v>
      </c>
      <c r="CC3" s="120">
        <f>'10.KJ'!H22</f>
        <v>0</v>
      </c>
      <c r="CE3" s="120">
        <f>'11. OST.'!H22</f>
        <v>331706</v>
      </c>
      <c r="CG3" s="120">
        <f>'12. NZZ'!H22</f>
        <v>0</v>
      </c>
      <c r="CI3" s="120">
        <f>'13. ukupno'!H22</f>
        <v>15595752</v>
      </c>
      <c r="CJ3" s="124">
        <f>CI3-CE3-CC3-CA3-BY3-BW3-BU3-BS3-BQ3-BM3-BK3</f>
        <v>3168560</v>
      </c>
      <c r="CK3" s="124">
        <f>CI3-CG3-BO3</f>
        <v>15595752</v>
      </c>
    </row>
    <row r="4" spans="1:89" ht="25.5">
      <c r="B4" s="122">
        <v>1002</v>
      </c>
      <c r="C4" s="143" t="s">
        <v>391</v>
      </c>
      <c r="D4" s="177"/>
      <c r="E4" s="144">
        <f>VLOOKUP($B4,$AH:$CI,2,FALSE)</f>
        <v>1204737</v>
      </c>
      <c r="F4" s="155"/>
      <c r="G4" s="144">
        <f>VLOOKUP($B4,$AH:$CI,4,FALSE)</f>
        <v>96884</v>
      </c>
      <c r="H4" s="155"/>
      <c r="I4" s="144">
        <f>VLOOKUP($B4,$AH:$CI,6,FALSE)</f>
        <v>1301621</v>
      </c>
      <c r="J4" s="155"/>
      <c r="K4" s="144">
        <f>VLOOKUP($B4,$AH:$CI,8,FALSE)</f>
        <v>1282727</v>
      </c>
      <c r="L4" s="155"/>
      <c r="M4" s="144">
        <f>VLOOKUP($B4,$AH:$CI,10,FALSE)</f>
        <v>1261182</v>
      </c>
      <c r="N4" s="155"/>
      <c r="O4" s="144">
        <f>VLOOKUP($B4,$AH:$CI,12,FALSE)</f>
        <v>252748</v>
      </c>
      <c r="P4" s="155"/>
      <c r="Q4" s="144">
        <f>VLOOKUP($B4,$AH:$CI,14,FALSE)</f>
        <v>-3411</v>
      </c>
      <c r="R4" s="155"/>
      <c r="S4" s="144">
        <f>VLOOKUP($B4,$AH:$CI,16,FALSE)</f>
        <v>4409205</v>
      </c>
      <c r="T4" s="155"/>
      <c r="U4" s="144">
        <f>VLOOKUP($B4,$AH:$CI,18,FALSE)</f>
        <v>8973733</v>
      </c>
      <c r="V4" s="155"/>
      <c r="W4" s="144">
        <f>VLOOKUP($B4,$AH:$CI,20,FALSE)</f>
        <v>49336</v>
      </c>
      <c r="X4" s="155"/>
      <c r="Y4" s="144">
        <f>VLOOKUP($B4,$AH:$CI,22,FALSE)</f>
        <v>369999</v>
      </c>
      <c r="Z4" s="155"/>
      <c r="AA4" s="144">
        <f>VLOOKUP($B4,$AH:$CI,24,FALSE)</f>
        <v>16595519</v>
      </c>
      <c r="AB4" s="155"/>
      <c r="AC4" s="144">
        <f>VLOOKUP($B4,$AH:$CI,26,FALSE)</f>
        <v>17897140</v>
      </c>
      <c r="AD4" s="110" t="s">
        <v>390</v>
      </c>
      <c r="AE4" s="124">
        <f>AC4-BG4</f>
        <v>0</v>
      </c>
      <c r="AG4" s="85" t="s">
        <v>292</v>
      </c>
      <c r="AH4" s="255">
        <v>1002</v>
      </c>
      <c r="AI4" s="219">
        <f>'1. OŽ'!G23</f>
        <v>1204737</v>
      </c>
      <c r="AK4" s="219">
        <f>'2. ŽO osim OŽ'!G23</f>
        <v>96884</v>
      </c>
      <c r="AM4" s="219">
        <f>'3. ŽO zbirno'!G23</f>
        <v>1301621</v>
      </c>
      <c r="AO4" s="219">
        <f>'4. N i DZ'!G23</f>
        <v>1282727</v>
      </c>
      <c r="AQ4" s="219">
        <f>'5. MV'!G23</f>
        <v>1261182</v>
      </c>
      <c r="AS4" s="219">
        <f>'6. PO i TR'!G23</f>
        <v>252748</v>
      </c>
      <c r="AU4" s="219">
        <f>'7. VAZ'!G23</f>
        <v>-3411</v>
      </c>
      <c r="AW4" s="219">
        <f>'8. IMOV'!G23</f>
        <v>4409205</v>
      </c>
      <c r="AY4" s="219">
        <f>'9. ODG.'!G23</f>
        <v>8973733</v>
      </c>
      <c r="BA4" s="219">
        <f>'10.KJ'!G23</f>
        <v>49336</v>
      </c>
      <c r="BC4" s="219">
        <f>'11. OST.'!G23</f>
        <v>369999</v>
      </c>
      <c r="BE4" s="219">
        <f>'12. NZZ'!G23</f>
        <v>16595519</v>
      </c>
      <c r="BG4" s="219">
        <f>'13. ukupno'!G23</f>
        <v>17897140</v>
      </c>
      <c r="BH4" s="124">
        <f t="shared" ref="BH4:BH67" si="0">AM4-AK4-AI4</f>
        <v>0</v>
      </c>
      <c r="BI4" s="124">
        <f t="shared" ref="BI4:BI67" si="1">BE4-BC4-BA4-AY4-AW4-AU4-AS4-AQ4-AO4</f>
        <v>0</v>
      </c>
      <c r="BJ4" s="124">
        <f t="shared" ref="BJ4:BJ67" si="2">BG4-BE4-AM4</f>
        <v>0</v>
      </c>
      <c r="BK4" s="120">
        <f>'1. OŽ'!H23</f>
        <v>0</v>
      </c>
      <c r="BM4" s="120">
        <f>'2. ŽO osim OŽ'!H23</f>
        <v>0</v>
      </c>
      <c r="BO4" s="120">
        <f>'3. ŽO zbirno'!H23</f>
        <v>0</v>
      </c>
      <c r="BQ4" s="120">
        <f>'4. N i DZ'!H23</f>
        <v>1358405</v>
      </c>
      <c r="BS4" s="120">
        <f>'5. MV'!H23</f>
        <v>0</v>
      </c>
      <c r="BU4" s="120">
        <f>'6. PO i TR'!H23</f>
        <v>0</v>
      </c>
      <c r="BW4" s="120">
        <f>'7. VAZ'!H23</f>
        <v>29980</v>
      </c>
      <c r="BY4" s="120">
        <f>'8. IMOV'!H23</f>
        <v>4315874</v>
      </c>
      <c r="CA4" s="120">
        <f>'9. ODG.'!H23</f>
        <v>6137583</v>
      </c>
      <c r="CC4" s="120">
        <f>'10.KJ'!H23</f>
        <v>0</v>
      </c>
      <c r="CE4" s="120">
        <f>'11. OST.'!H23</f>
        <v>331441</v>
      </c>
      <c r="CG4" s="120">
        <f>'12. NZZ'!H23</f>
        <v>0</v>
      </c>
      <c r="CI4" s="120">
        <f>'13. ukupno'!H23</f>
        <v>15333649</v>
      </c>
      <c r="CJ4" s="124">
        <f t="shared" ref="CJ4:CJ67" si="3">CI4-CE4-CC4-CA4-BY4-BW4-BU4-BS4-BQ4-BM4-BK4</f>
        <v>3160366</v>
      </c>
      <c r="CK4" s="124">
        <f t="shared" ref="CK4:CK67" si="4">CI4-CG4-BO4</f>
        <v>15333649</v>
      </c>
    </row>
    <row r="5" spans="1:89" ht="33.75">
      <c r="B5" s="121">
        <v>1014</v>
      </c>
      <c r="C5" s="143" t="s">
        <v>389</v>
      </c>
      <c r="D5" s="177"/>
      <c r="E5" s="144">
        <f>VLOOKUP($B5,$AH:$CI,2,FALSE)</f>
        <v>0</v>
      </c>
      <c r="F5" s="155"/>
      <c r="G5" s="144">
        <f>VLOOKUP($B5,$AH:$CI,4,FALSE)</f>
        <v>0</v>
      </c>
      <c r="H5" s="155"/>
      <c r="I5" s="144">
        <f>VLOOKUP($B5,$AH:$CI,6,FALSE)</f>
        <v>0</v>
      </c>
      <c r="J5" s="155"/>
      <c r="K5" s="144">
        <f>VLOOKUP($B5,$AH:$CI,8,FALSE)</f>
        <v>803</v>
      </c>
      <c r="L5" s="155"/>
      <c r="M5" s="144">
        <f>VLOOKUP($B5,$AH:$CI,10,FALSE)</f>
        <v>1027</v>
      </c>
      <c r="N5" s="155"/>
      <c r="O5" s="144">
        <f>VLOOKUP($B5,$AH:$CI,12,FALSE)</f>
        <v>499</v>
      </c>
      <c r="P5" s="155"/>
      <c r="Q5" s="144">
        <f>VLOOKUP($B5,$AH:$CI,14,FALSE)</f>
        <v>119</v>
      </c>
      <c r="R5" s="155"/>
      <c r="S5" s="144">
        <f>VLOOKUP($B5,$AH:$CI,16,FALSE)</f>
        <v>6749</v>
      </c>
      <c r="T5" s="155"/>
      <c r="U5" s="144">
        <f>VLOOKUP($B5,$AH:$CI,18,FALSE)</f>
        <v>245110</v>
      </c>
      <c r="V5" s="155"/>
      <c r="W5" s="144">
        <f>VLOOKUP($B5,$AH:$CI,20,FALSE)</f>
        <v>83</v>
      </c>
      <c r="X5" s="155"/>
      <c r="Y5" s="144">
        <f>VLOOKUP($B5,$AH:$CI,22,FALSE)</f>
        <v>137</v>
      </c>
      <c r="Z5" s="155"/>
      <c r="AA5" s="144">
        <f>VLOOKUP($B5,$AH:$CI,24,FALSE)</f>
        <v>254527</v>
      </c>
      <c r="AB5" s="155"/>
      <c r="AC5" s="144">
        <f>VLOOKUP($B5,$AH:$CI,26,FALSE)</f>
        <v>254527</v>
      </c>
      <c r="AD5" s="110" t="s">
        <v>388</v>
      </c>
      <c r="AE5" s="124">
        <f>AC5-BG16</f>
        <v>0</v>
      </c>
      <c r="AG5" s="39" t="s">
        <v>13</v>
      </c>
      <c r="AH5" s="256">
        <v>1003</v>
      </c>
      <c r="AI5" s="220">
        <f>'1. OŽ'!G24</f>
        <v>1209898</v>
      </c>
      <c r="AK5" s="220">
        <f>'2. ŽO osim OŽ'!G24</f>
        <v>97033</v>
      </c>
      <c r="AM5" s="220">
        <f>'3. ŽO zbirno'!G24</f>
        <v>1306931</v>
      </c>
      <c r="AO5" s="220">
        <f>'4. N i DZ'!G24</f>
        <v>0</v>
      </c>
      <c r="AQ5" s="220">
        <f>'5. MV'!G24</f>
        <v>0</v>
      </c>
      <c r="AS5" s="220">
        <f>'6. PO i TR'!G24</f>
        <v>0</v>
      </c>
      <c r="AU5" s="220">
        <f>'7. VAZ'!G24</f>
        <v>0</v>
      </c>
      <c r="AW5" s="220">
        <f>'8. IMOV'!G24</f>
        <v>0</v>
      </c>
      <c r="AY5" s="220">
        <f>'9. ODG.'!G24</f>
        <v>0</v>
      </c>
      <c r="BA5" s="220">
        <f>'10.KJ'!G24</f>
        <v>0</v>
      </c>
      <c r="BC5" s="220">
        <f>'11. OST.'!G24</f>
        <v>0</v>
      </c>
      <c r="BE5" s="220">
        <f>'12. NZZ'!G24</f>
        <v>0</v>
      </c>
      <c r="BG5" s="220">
        <f>'13. ukupno'!G24</f>
        <v>1306931</v>
      </c>
      <c r="BH5" s="124">
        <f t="shared" si="0"/>
        <v>0</v>
      </c>
      <c r="BI5" s="124">
        <f t="shared" si="1"/>
        <v>0</v>
      </c>
      <c r="BJ5" s="124">
        <f t="shared" si="2"/>
        <v>0</v>
      </c>
      <c r="BK5" s="120">
        <f>'1. OŽ'!H24</f>
        <v>0</v>
      </c>
      <c r="BM5" s="120">
        <f>'2. ŽO osim OŽ'!H24</f>
        <v>0</v>
      </c>
      <c r="BO5" s="120">
        <f>'3. ŽO zbirno'!H24</f>
        <v>0</v>
      </c>
      <c r="BQ5" s="120">
        <f>'4. N i DZ'!H24</f>
        <v>0</v>
      </c>
      <c r="BS5" s="120">
        <f>'5. MV'!H24</f>
        <v>0</v>
      </c>
      <c r="BU5" s="120">
        <f>'6. PO i TR'!H24</f>
        <v>0</v>
      </c>
      <c r="BW5" s="120">
        <f>'7. VAZ'!H24</f>
        <v>0</v>
      </c>
      <c r="BY5" s="120">
        <f>'8. IMOV'!H24</f>
        <v>0</v>
      </c>
      <c r="CA5" s="120">
        <f>'9. ODG.'!H24</f>
        <v>0</v>
      </c>
      <c r="CC5" s="120">
        <f>'10.KJ'!H24</f>
        <v>0</v>
      </c>
      <c r="CE5" s="120">
        <f>'11. OST.'!H24</f>
        <v>0</v>
      </c>
      <c r="CG5" s="120">
        <f>'12. NZZ'!H24</f>
        <v>0</v>
      </c>
      <c r="CI5" s="120">
        <f>'13. ukupno'!H24</f>
        <v>1354519</v>
      </c>
      <c r="CJ5" s="124">
        <f t="shared" si="3"/>
        <v>1354519</v>
      </c>
      <c r="CK5" s="124">
        <f t="shared" si="4"/>
        <v>1354519</v>
      </c>
    </row>
    <row r="6" spans="1:89" ht="25.5">
      <c r="B6" s="121">
        <v>1015</v>
      </c>
      <c r="C6" s="143" t="s">
        <v>373</v>
      </c>
      <c r="D6" s="177"/>
      <c r="E6" s="145">
        <f>VLOOKUP($B6,$AH:$CI,2,FALSE)</f>
        <v>103</v>
      </c>
      <c r="F6" s="155"/>
      <c r="G6" s="144">
        <f>VLOOKUP($B6,$AH:$CI,4,FALSE)</f>
        <v>0</v>
      </c>
      <c r="H6" s="155"/>
      <c r="I6" s="144">
        <f>VLOOKUP($B6,$AH:$CI,6,FALSE)</f>
        <v>103</v>
      </c>
      <c r="J6" s="155"/>
      <c r="K6" s="144">
        <f>VLOOKUP($B6,$AH:$CI,8,FALSE)</f>
        <v>1074</v>
      </c>
      <c r="L6" s="155"/>
      <c r="M6" s="145">
        <f>VLOOKUP($B6,$AH:$CI,10,FALSE)</f>
        <v>5682</v>
      </c>
      <c r="N6" s="155"/>
      <c r="O6" s="144">
        <f>VLOOKUP($B6,$AH:$CI,12,FALSE)</f>
        <v>333</v>
      </c>
      <c r="P6" s="155"/>
      <c r="Q6" s="145">
        <f>VLOOKUP($B6,$AH:$CI,14,FALSE)</f>
        <v>3013</v>
      </c>
      <c r="R6" s="155"/>
      <c r="S6" s="145">
        <f>VLOOKUP($B6,$AH:$CI,16,FALSE)</f>
        <v>99118</v>
      </c>
      <c r="T6" s="155"/>
      <c r="U6" s="144">
        <f>VLOOKUP($B6,$AH:$CI,18,FALSE)</f>
        <v>13042</v>
      </c>
      <c r="V6" s="155"/>
      <c r="W6" s="145">
        <f>VLOOKUP($B6,$AH:$CI,20,FALSE)</f>
        <v>68</v>
      </c>
      <c r="X6" s="155"/>
      <c r="Y6" s="144">
        <f>VLOOKUP($B6,$AH:$CI,22,FALSE)</f>
        <v>121</v>
      </c>
      <c r="Z6" s="155"/>
      <c r="AA6" s="145">
        <f>VLOOKUP($B6,$AH:$CI,24,FALSE)</f>
        <v>122451</v>
      </c>
      <c r="AB6" s="155"/>
      <c r="AC6" s="145">
        <f>VLOOKUP($B6,$AH:$CI,26,FALSE)</f>
        <v>122554</v>
      </c>
      <c r="AD6" s="110" t="s">
        <v>387</v>
      </c>
      <c r="AE6" s="124">
        <f>AC6-BG17</f>
        <v>0</v>
      </c>
      <c r="AG6" s="39" t="s">
        <v>14</v>
      </c>
      <c r="AH6" s="256">
        <v>1004</v>
      </c>
      <c r="AI6" s="220">
        <f>'1. OŽ'!G25</f>
        <v>0</v>
      </c>
      <c r="AK6" s="220">
        <f>'2. ŽO osim OŽ'!G25</f>
        <v>0</v>
      </c>
      <c r="AM6" s="220">
        <f>'3. ŽO zbirno'!G25</f>
        <v>0</v>
      </c>
      <c r="AO6" s="220">
        <f>'4. N i DZ'!G25</f>
        <v>1354585</v>
      </c>
      <c r="AQ6" s="220">
        <f>'5. MV'!G25</f>
        <v>1443600</v>
      </c>
      <c r="AS6" s="220">
        <f>'6. PO i TR'!G25</f>
        <v>329852</v>
      </c>
      <c r="AU6" s="220">
        <f>'7. VAZ'!G25</f>
        <v>63472</v>
      </c>
      <c r="AW6" s="220">
        <f>'8. IMOV'!G25</f>
        <v>6059521</v>
      </c>
      <c r="AY6" s="220">
        <f>'9. ODG.'!G25</f>
        <v>10437649</v>
      </c>
      <c r="BA6" s="220">
        <f>'10.KJ'!G25</f>
        <v>70122</v>
      </c>
      <c r="BC6" s="220">
        <f>'11. OST.'!G25</f>
        <v>395604</v>
      </c>
      <c r="BE6" s="220">
        <f>'12. NZZ'!G25</f>
        <v>20154405</v>
      </c>
      <c r="BG6" s="220">
        <f>'13. ukupno'!G25</f>
        <v>20154405</v>
      </c>
      <c r="BH6" s="124">
        <f t="shared" si="0"/>
        <v>0</v>
      </c>
      <c r="BI6" s="124">
        <f t="shared" si="1"/>
        <v>0</v>
      </c>
      <c r="BJ6" s="124">
        <f t="shared" si="2"/>
        <v>0</v>
      </c>
      <c r="BK6" s="120">
        <f>'1. OŽ'!H25</f>
        <v>0</v>
      </c>
      <c r="BM6" s="120">
        <f>'2. ŽO osim OŽ'!H25</f>
        <v>0</v>
      </c>
      <c r="BO6" s="120">
        <f>'3. ŽO zbirno'!H25</f>
        <v>0</v>
      </c>
      <c r="BQ6" s="120">
        <f>'4. N i DZ'!H25</f>
        <v>1362161</v>
      </c>
      <c r="BS6" s="120">
        <f>'5. MV'!H25</f>
        <v>0</v>
      </c>
      <c r="BU6" s="120">
        <f>'6. PO i TR'!H25</f>
        <v>0</v>
      </c>
      <c r="BW6" s="120">
        <f>'7. VAZ'!H25</f>
        <v>103340</v>
      </c>
      <c r="BY6" s="120">
        <f>'8. IMOV'!H25</f>
        <v>4974336</v>
      </c>
      <c r="CA6" s="120">
        <f>'9. ODG.'!H25</f>
        <v>7667085</v>
      </c>
      <c r="CC6" s="120">
        <f>'10.KJ'!H25</f>
        <v>0</v>
      </c>
      <c r="CE6" s="120">
        <f>'11. OST.'!H25</f>
        <v>330283</v>
      </c>
      <c r="CG6" s="120">
        <f>'12. NZZ'!H25</f>
        <v>0</v>
      </c>
      <c r="CI6" s="120">
        <f>'13. ukupno'!H25</f>
        <v>16197324</v>
      </c>
      <c r="CJ6" s="124">
        <f t="shared" si="3"/>
        <v>1760119</v>
      </c>
      <c r="CK6" s="124">
        <f t="shared" si="4"/>
        <v>16197324</v>
      </c>
    </row>
    <row r="7" spans="1:89" ht="12.75">
      <c r="B7" s="121">
        <v>1001</v>
      </c>
      <c r="C7" s="139"/>
      <c r="D7" s="177"/>
      <c r="E7" s="146">
        <f>SUM(E4:E6)</f>
        <v>1204840</v>
      </c>
      <c r="F7" s="177"/>
      <c r="G7" s="147">
        <f>SUM(G4:G6)</f>
        <v>96884</v>
      </c>
      <c r="H7" s="177"/>
      <c r="I7" s="147">
        <f>SUM(I4:I6)</f>
        <v>1301724</v>
      </c>
      <c r="J7" s="177"/>
      <c r="K7" s="147">
        <f>SUM(K4:K6)</f>
        <v>1284604</v>
      </c>
      <c r="L7" s="177"/>
      <c r="M7" s="148">
        <f>SUM(M4:M6)</f>
        <v>1267891</v>
      </c>
      <c r="N7" s="177"/>
      <c r="O7" s="147">
        <f>SUM(O4:O6)</f>
        <v>253580</v>
      </c>
      <c r="P7" s="177"/>
      <c r="Q7" s="146">
        <f>SUM(Q4:Q6)</f>
        <v>-279</v>
      </c>
      <c r="R7" s="177"/>
      <c r="S7" s="146">
        <f>SUM(S4:S6)</f>
        <v>4515072</v>
      </c>
      <c r="T7" s="177"/>
      <c r="U7" s="146">
        <f>SUM(U4:U6)</f>
        <v>9231885</v>
      </c>
      <c r="V7" s="181"/>
      <c r="W7" s="146">
        <f>SUM(W4:W6)</f>
        <v>49487</v>
      </c>
      <c r="X7" s="181"/>
      <c r="Y7" s="147">
        <f>SUM(Y4:Y6)</f>
        <v>370257</v>
      </c>
      <c r="Z7" s="181"/>
      <c r="AA7" s="148">
        <f>SUM(AA4:AA6)</f>
        <v>16972497</v>
      </c>
      <c r="AB7" s="181"/>
      <c r="AC7" s="148">
        <f>SUM(AC4:AC6)</f>
        <v>18274221</v>
      </c>
      <c r="AD7" s="112" t="s">
        <v>386</v>
      </c>
      <c r="AE7" s="124">
        <f>AC7-BG3</f>
        <v>0</v>
      </c>
      <c r="AG7" s="39" t="s">
        <v>16</v>
      </c>
      <c r="AH7" s="256">
        <v>1005</v>
      </c>
      <c r="AI7" s="220">
        <f>'1. OŽ'!G26</f>
        <v>0</v>
      </c>
      <c r="AK7" s="220">
        <f>'2. ŽO osim OŽ'!G26</f>
        <v>0</v>
      </c>
      <c r="AM7" s="220">
        <f>'3. ŽO zbirno'!G26</f>
        <v>0</v>
      </c>
      <c r="AO7" s="220">
        <f>'4. N i DZ'!G26</f>
        <v>35957</v>
      </c>
      <c r="AQ7" s="220">
        <f>'5. MV'!G26</f>
        <v>23206</v>
      </c>
      <c r="AS7" s="220">
        <f>'6. PO i TR'!G26</f>
        <v>19590</v>
      </c>
      <c r="AU7" s="220">
        <f>'7. VAZ'!G26</f>
        <v>0</v>
      </c>
      <c r="AW7" s="220">
        <f>'8. IMOV'!G26</f>
        <v>803135</v>
      </c>
      <c r="AY7" s="220">
        <f>'9. ODG.'!G26</f>
        <v>12881</v>
      </c>
      <c r="BA7" s="220">
        <f>'10.KJ'!G26</f>
        <v>0</v>
      </c>
      <c r="BC7" s="220">
        <f>'11. OST.'!G26</f>
        <v>10238</v>
      </c>
      <c r="BE7" s="220">
        <f>'12. NZZ'!G26</f>
        <v>905007</v>
      </c>
      <c r="BG7" s="220">
        <f>'13. ukupno'!G26</f>
        <v>905007</v>
      </c>
      <c r="BH7" s="124">
        <f t="shared" si="0"/>
        <v>0</v>
      </c>
      <c r="BI7" s="124">
        <f t="shared" si="1"/>
        <v>0</v>
      </c>
      <c r="BJ7" s="124">
        <f t="shared" si="2"/>
        <v>0</v>
      </c>
      <c r="BK7" s="120">
        <f>'1. OŽ'!H26</f>
        <v>0</v>
      </c>
      <c r="BM7" s="120">
        <f>'2. ŽO osim OŽ'!H26</f>
        <v>0</v>
      </c>
      <c r="BO7" s="120">
        <f>'3. ŽO zbirno'!H26</f>
        <v>0</v>
      </c>
      <c r="BQ7" s="120">
        <f>'4. N i DZ'!H26</f>
        <v>18381</v>
      </c>
      <c r="BS7" s="120">
        <f>'5. MV'!H26</f>
        <v>0</v>
      </c>
      <c r="BU7" s="120">
        <f>'6. PO i TR'!H26</f>
        <v>0</v>
      </c>
      <c r="BW7" s="120">
        <f>'7. VAZ'!H26</f>
        <v>0</v>
      </c>
      <c r="BY7" s="120">
        <f>'8. IMOV'!H26</f>
        <v>371352</v>
      </c>
      <c r="CA7" s="120">
        <f>'9. ODG.'!H26</f>
        <v>9302</v>
      </c>
      <c r="CC7" s="120">
        <f>'10.KJ'!H26</f>
        <v>0</v>
      </c>
      <c r="CE7" s="120">
        <f>'11. OST.'!H26</f>
        <v>0</v>
      </c>
      <c r="CG7" s="120">
        <f>'12. NZZ'!H26</f>
        <v>0</v>
      </c>
      <c r="CI7" s="120">
        <f>'13. ukupno'!H26</f>
        <v>424725</v>
      </c>
      <c r="CJ7" s="124">
        <f t="shared" si="3"/>
        <v>25690</v>
      </c>
      <c r="CK7" s="124">
        <f t="shared" si="4"/>
        <v>424725</v>
      </c>
    </row>
    <row r="8" spans="1:89" ht="12.75">
      <c r="C8" s="139" t="s">
        <v>417</v>
      </c>
      <c r="D8" s="177"/>
      <c r="E8" s="149"/>
      <c r="F8" s="177"/>
      <c r="G8" s="150"/>
      <c r="H8" s="177"/>
      <c r="I8" s="150"/>
      <c r="J8" s="177"/>
      <c r="K8" s="150"/>
      <c r="L8" s="177"/>
      <c r="M8" s="150"/>
      <c r="N8" s="177"/>
      <c r="O8" s="150"/>
      <c r="P8" s="177"/>
      <c r="Q8" s="149"/>
      <c r="R8" s="177"/>
      <c r="S8" s="149"/>
      <c r="T8" s="177"/>
      <c r="U8" s="149"/>
      <c r="V8" s="181"/>
      <c r="W8" s="149"/>
      <c r="X8" s="181"/>
      <c r="Y8" s="150"/>
      <c r="Z8" s="181"/>
      <c r="AA8" s="150"/>
      <c r="AB8" s="181"/>
      <c r="AC8" s="150"/>
      <c r="AE8" s="124"/>
      <c r="AG8" s="39" t="s">
        <v>17</v>
      </c>
      <c r="AH8" s="256">
        <v>1006</v>
      </c>
      <c r="AI8" s="220">
        <f>'1. OŽ'!G27</f>
        <v>5161</v>
      </c>
      <c r="AK8" s="220">
        <f>'2. ŽO osim OŽ'!G27</f>
        <v>0</v>
      </c>
      <c r="AM8" s="220">
        <f>'3. ŽO zbirno'!G27</f>
        <v>5161</v>
      </c>
      <c r="AO8" s="220">
        <f>'4. N i DZ'!G27</f>
        <v>143</v>
      </c>
      <c r="AQ8" s="220">
        <f>'5. MV'!G27</f>
        <v>42660</v>
      </c>
      <c r="AS8" s="220">
        <f>'6. PO i TR'!G27</f>
        <v>56684</v>
      </c>
      <c r="AU8" s="220">
        <f>'7. VAZ'!G27</f>
        <v>61595</v>
      </c>
      <c r="AW8" s="220">
        <f>'8. IMOV'!G27</f>
        <v>897127</v>
      </c>
      <c r="AY8" s="220">
        <f>'9. ODG.'!G27</f>
        <v>350330</v>
      </c>
      <c r="BA8" s="220">
        <f>'10.KJ'!G27</f>
        <v>18794</v>
      </c>
      <c r="BC8" s="220">
        <f>'11. OST.'!G27</f>
        <v>4470</v>
      </c>
      <c r="BE8" s="220">
        <f>'12. NZZ'!G27</f>
        <v>1431803</v>
      </c>
      <c r="BG8" s="220">
        <f>'13. ukupno'!G27</f>
        <v>1436964</v>
      </c>
      <c r="BH8" s="124">
        <f t="shared" si="0"/>
        <v>0</v>
      </c>
      <c r="BI8" s="124">
        <f t="shared" si="1"/>
        <v>0</v>
      </c>
      <c r="BJ8" s="124">
        <f t="shared" si="2"/>
        <v>0</v>
      </c>
      <c r="BK8" s="120">
        <f>'1. OŽ'!H27</f>
        <v>0</v>
      </c>
      <c r="BM8" s="120">
        <f>'2. ŽO osim OŽ'!H27</f>
        <v>0</v>
      </c>
      <c r="BO8" s="120">
        <f>'3. ŽO zbirno'!H27</f>
        <v>0</v>
      </c>
      <c r="BQ8" s="120">
        <f>'4. N i DZ'!H27</f>
        <v>0</v>
      </c>
      <c r="BS8" s="120">
        <f>'5. MV'!H27</f>
        <v>0</v>
      </c>
      <c r="BU8" s="120">
        <f>'6. PO i TR'!H27</f>
        <v>0</v>
      </c>
      <c r="BW8" s="120">
        <f>'7. VAZ'!H27</f>
        <v>52825</v>
      </c>
      <c r="BY8" s="120">
        <f>'8. IMOV'!H27</f>
        <v>543414</v>
      </c>
      <c r="CA8" s="120">
        <f>'9. ODG.'!H27</f>
        <v>267521</v>
      </c>
      <c r="CC8" s="120">
        <f>'10.KJ'!H27</f>
        <v>0</v>
      </c>
      <c r="CE8" s="120">
        <f>'11. OST.'!H27</f>
        <v>0</v>
      </c>
      <c r="CG8" s="120">
        <f>'12. NZZ'!H27</f>
        <v>0</v>
      </c>
      <c r="CI8" s="120">
        <f>'13. ukupno'!H27</f>
        <v>951250</v>
      </c>
      <c r="CJ8" s="124">
        <f t="shared" si="3"/>
        <v>87490</v>
      </c>
      <c r="CK8" s="124">
        <f t="shared" si="4"/>
        <v>951250</v>
      </c>
    </row>
    <row r="9" spans="1:89" ht="25.5">
      <c r="B9" s="121">
        <v>1017</v>
      </c>
      <c r="C9" s="143" t="s">
        <v>385</v>
      </c>
      <c r="D9" s="153"/>
      <c r="E9" s="144">
        <f>-VLOOKUP($B9,$AH:$CI,2,FALSE)</f>
        <v>-443898</v>
      </c>
      <c r="F9" s="155"/>
      <c r="G9" s="144">
        <f>-VLOOKUP($B9,$AH:$CI,4,FALSE)</f>
        <v>0</v>
      </c>
      <c r="H9" s="155"/>
      <c r="I9" s="144">
        <f>-VLOOKUP($B9,$AH:$CI,6,FALSE)</f>
        <v>-443898</v>
      </c>
      <c r="J9" s="155"/>
      <c r="K9" s="144">
        <f>-VLOOKUP($B9,$AH:$CI,8,FALSE)</f>
        <v>-27175</v>
      </c>
      <c r="L9" s="155"/>
      <c r="M9" s="144">
        <f>-VLOOKUP($B9,$AH:$CI,10,FALSE)</f>
        <v>-30934</v>
      </c>
      <c r="N9" s="155"/>
      <c r="O9" s="144">
        <f>-VLOOKUP($B9,$AH:$CI,12,FALSE)</f>
        <v>-23641</v>
      </c>
      <c r="P9" s="155"/>
      <c r="Q9" s="144">
        <f>-VLOOKUP($B9,$AH:$CI,14,FALSE)</f>
        <v>-117</v>
      </c>
      <c r="R9" s="155"/>
      <c r="S9" s="144">
        <f>-VLOOKUP($B9,$AH:$CI,16,FALSE)</f>
        <v>-138754</v>
      </c>
      <c r="T9" s="155"/>
      <c r="U9" s="144">
        <f>-VLOOKUP($B9,$AH:$CI,18,FALSE)</f>
        <v>-1452614</v>
      </c>
      <c r="V9" s="155"/>
      <c r="W9" s="144">
        <f>-VLOOKUP($B9,$AH:$CI,20,FALSE)</f>
        <v>-9971</v>
      </c>
      <c r="X9" s="155"/>
      <c r="Y9" s="144">
        <f>-VLOOKUP($B9,$AH:$CI,22,FALSE)</f>
        <v>-1128</v>
      </c>
      <c r="Z9" s="155"/>
      <c r="AA9" s="144">
        <f>-VLOOKUP($B9,$AH:$CI,24,FALSE)</f>
        <v>-1684334</v>
      </c>
      <c r="AB9" s="155"/>
      <c r="AC9" s="144">
        <f>-VLOOKUP($B9,$AH:$CI,26,FALSE)</f>
        <v>-2128232</v>
      </c>
      <c r="AD9" s="110" t="s">
        <v>384</v>
      </c>
      <c r="AE9" s="124">
        <f>AC9+BG19</f>
        <v>0</v>
      </c>
      <c r="AG9" s="39" t="s">
        <v>112</v>
      </c>
      <c r="AH9" s="256">
        <v>1007</v>
      </c>
      <c r="AI9" s="220">
        <f>'1. OŽ'!G28</f>
        <v>0</v>
      </c>
      <c r="AK9" s="220">
        <f>'2. ŽO osim OŽ'!G28</f>
        <v>149</v>
      </c>
      <c r="AM9" s="220">
        <f>'3. ŽO zbirno'!G28</f>
        <v>149</v>
      </c>
      <c r="AO9" s="220">
        <f>'4. N i DZ'!G28</f>
        <v>35758</v>
      </c>
      <c r="AQ9" s="220">
        <f>'5. MV'!G28</f>
        <v>116552</v>
      </c>
      <c r="AS9" s="220">
        <f>'6. PO i TR'!G28</f>
        <v>830</v>
      </c>
      <c r="AU9" s="220">
        <f>'7. VAZ'!G28</f>
        <v>5288</v>
      </c>
      <c r="AW9" s="220">
        <f>'8. IMOV'!G28</f>
        <v>0</v>
      </c>
      <c r="AY9" s="220">
        <f>'9. ODG.'!G28</f>
        <v>1100705</v>
      </c>
      <c r="BA9" s="220">
        <f>'10.KJ'!G28</f>
        <v>1992</v>
      </c>
      <c r="BC9" s="220">
        <f>'11. OST.'!G28</f>
        <v>10897</v>
      </c>
      <c r="BE9" s="220">
        <f>'12. NZZ'!G28</f>
        <v>1222076</v>
      </c>
      <c r="BG9" s="220">
        <f>'13. ukupno'!G28</f>
        <v>1222225</v>
      </c>
      <c r="BH9" s="124">
        <f t="shared" si="0"/>
        <v>0</v>
      </c>
      <c r="BI9" s="124">
        <f t="shared" si="1"/>
        <v>-49946</v>
      </c>
      <c r="BJ9" s="124">
        <f t="shared" si="2"/>
        <v>0</v>
      </c>
      <c r="BK9" s="120">
        <f>'1. OŽ'!H28</f>
        <v>0</v>
      </c>
      <c r="BM9" s="120">
        <f>'2. ŽO osim OŽ'!H28</f>
        <v>0</v>
      </c>
      <c r="BO9" s="120">
        <f>'3. ŽO zbirno'!H28</f>
        <v>0</v>
      </c>
      <c r="BQ9" s="120">
        <f>'4. N i DZ'!H28</f>
        <v>0</v>
      </c>
      <c r="BS9" s="120">
        <f>'5. MV'!H28</f>
        <v>0</v>
      </c>
      <c r="BU9" s="120">
        <f>'6. PO i TR'!H28</f>
        <v>0</v>
      </c>
      <c r="BW9" s="120">
        <f>'7. VAZ'!H28</f>
        <v>20535</v>
      </c>
      <c r="BY9" s="120">
        <f>'8. IMOV'!H28</f>
        <v>0</v>
      </c>
      <c r="CA9" s="120">
        <f>'9. ODG.'!H28</f>
        <v>1252679</v>
      </c>
      <c r="CC9" s="120">
        <f>'10.KJ'!H28</f>
        <v>0</v>
      </c>
      <c r="CE9" s="120">
        <f>'11. OST.'!H28</f>
        <v>0</v>
      </c>
      <c r="CG9" s="120">
        <f>'12. NZZ'!H28</f>
        <v>0</v>
      </c>
      <c r="CI9" s="120">
        <f>'13. ukupno'!H28</f>
        <v>842219</v>
      </c>
      <c r="CJ9" s="124">
        <f t="shared" si="3"/>
        <v>-430995</v>
      </c>
      <c r="CK9" s="124">
        <f t="shared" si="4"/>
        <v>842219</v>
      </c>
    </row>
    <row r="10" spans="1:89" ht="25.5">
      <c r="B10" s="121">
        <v>1026</v>
      </c>
      <c r="C10" s="143" t="s">
        <v>383</v>
      </c>
      <c r="D10" s="153"/>
      <c r="E10" s="144">
        <f>-VLOOKUP($B10,$AH:$CI,2,FALSE)</f>
        <v>-552361</v>
      </c>
      <c r="F10" s="155"/>
      <c r="G10" s="144">
        <f>-VLOOKUP($B10,$AH:$CI,4,FALSE)</f>
        <v>-35064</v>
      </c>
      <c r="H10" s="155"/>
      <c r="I10" s="144">
        <f>-VLOOKUP($B10,$AH:$CI,6,FALSE)</f>
        <v>-587425</v>
      </c>
      <c r="J10" s="155"/>
      <c r="K10" s="144">
        <f>-VLOOKUP($B10,$AH:$CI,8,FALSE)</f>
        <v>-953090</v>
      </c>
      <c r="L10" s="155"/>
      <c r="M10" s="144">
        <f>-VLOOKUP($B10,$AH:$CI,10,FALSE)</f>
        <v>-1114638</v>
      </c>
      <c r="N10" s="155"/>
      <c r="O10" s="144">
        <f>-VLOOKUP($B10,$AH:$CI,12,FALSE)</f>
        <v>-65981</v>
      </c>
      <c r="P10" s="155"/>
      <c r="Q10" s="144">
        <f>-VLOOKUP($B10,$AH:$CI,14,FALSE)</f>
        <v>-11896</v>
      </c>
      <c r="R10" s="155"/>
      <c r="S10" s="144">
        <f>-VLOOKUP($B10,$AH:$CI,16,FALSE)</f>
        <v>-2226956</v>
      </c>
      <c r="T10" s="155"/>
      <c r="U10" s="144">
        <f>-VLOOKUP($B10,$AH:$CI,18,FALSE)</f>
        <v>-2938107</v>
      </c>
      <c r="V10" s="155"/>
      <c r="W10" s="144">
        <f>-VLOOKUP($B10,$AH:$CI,20,FALSE)</f>
        <v>-21484</v>
      </c>
      <c r="X10" s="155"/>
      <c r="Y10" s="144">
        <f>-VLOOKUP($B10,$AH:$CI,22,FALSE)</f>
        <v>-112032</v>
      </c>
      <c r="Z10" s="155"/>
      <c r="AA10" s="144">
        <f>-VLOOKUP($B10,$AH:$CI,24,FALSE)</f>
        <v>-7444184</v>
      </c>
      <c r="AB10" s="155"/>
      <c r="AC10" s="144">
        <f>-VLOOKUP($B10,$AH:$CI,26,FALSE)</f>
        <v>-8031609</v>
      </c>
      <c r="AD10" s="110" t="s">
        <v>382</v>
      </c>
      <c r="AE10" s="124">
        <f>AC10+BG28</f>
        <v>0</v>
      </c>
      <c r="AG10" s="39" t="s">
        <v>113</v>
      </c>
      <c r="AH10" s="256">
        <v>1008</v>
      </c>
      <c r="AI10" s="220">
        <f>'1. OŽ'!G29</f>
        <v>0</v>
      </c>
      <c r="AK10" s="220">
        <f>'2. ŽO osim OŽ'!G29</f>
        <v>0</v>
      </c>
      <c r="AM10" s="220">
        <f>'3. ŽO zbirno'!G29</f>
        <v>0</v>
      </c>
      <c r="AO10" s="220">
        <f>'4. N i DZ'!G29</f>
        <v>0</v>
      </c>
      <c r="AQ10" s="220">
        <f>'5. MV'!G29</f>
        <v>0</v>
      </c>
      <c r="AS10" s="220">
        <f>'6. PO i TR'!G29</f>
        <v>0</v>
      </c>
      <c r="AU10" s="220">
        <f>'7. VAZ'!G29</f>
        <v>0</v>
      </c>
      <c r="AW10" s="220">
        <f>'8. IMOV'!G29</f>
        <v>49946</v>
      </c>
      <c r="AY10" s="220">
        <f>'9. ODG.'!G29</f>
        <v>0</v>
      </c>
      <c r="BA10" s="220">
        <f>'10.KJ'!G29</f>
        <v>0</v>
      </c>
      <c r="BC10" s="220">
        <f>'11. OST.'!G29</f>
        <v>0</v>
      </c>
      <c r="BE10" s="220">
        <f>'12. NZZ'!G29</f>
        <v>0</v>
      </c>
      <c r="BG10" s="220">
        <f>'13. ukupno'!G29</f>
        <v>0</v>
      </c>
      <c r="BH10" s="124">
        <f t="shared" si="0"/>
        <v>0</v>
      </c>
      <c r="BI10" s="124">
        <f t="shared" si="1"/>
        <v>-49946</v>
      </c>
      <c r="BJ10" s="124">
        <f t="shared" si="2"/>
        <v>0</v>
      </c>
      <c r="BK10" s="120">
        <f>'1. OŽ'!H29</f>
        <v>0</v>
      </c>
      <c r="BM10" s="120">
        <f>'2. ŽO osim OŽ'!H29</f>
        <v>0</v>
      </c>
      <c r="BO10" s="120">
        <f>'3. ŽO zbirno'!H29</f>
        <v>0</v>
      </c>
      <c r="BQ10" s="120">
        <f>'4. N i DZ'!H29</f>
        <v>14625</v>
      </c>
      <c r="BS10" s="120">
        <f>'5. MV'!H29</f>
        <v>0</v>
      </c>
      <c r="BU10" s="120">
        <f>'6. PO i TR'!H29</f>
        <v>0</v>
      </c>
      <c r="BW10" s="120">
        <f>'7. VAZ'!H29</f>
        <v>0</v>
      </c>
      <c r="BY10" s="120">
        <f>'8. IMOV'!H29</f>
        <v>256304</v>
      </c>
      <c r="CA10" s="120">
        <f>'9. ODG.'!H29</f>
        <v>0</v>
      </c>
      <c r="CC10" s="120">
        <f>'10.KJ'!H29</f>
        <v>0</v>
      </c>
      <c r="CE10" s="120">
        <f>'11. OST.'!H29</f>
        <v>1158</v>
      </c>
      <c r="CG10" s="120">
        <f>'12. NZZ'!H29</f>
        <v>0</v>
      </c>
      <c r="CI10" s="120">
        <f>'13. ukupno'!H29</f>
        <v>0</v>
      </c>
      <c r="CJ10" s="124">
        <f t="shared" si="3"/>
        <v>-272087</v>
      </c>
      <c r="CK10" s="124">
        <f t="shared" si="4"/>
        <v>0</v>
      </c>
    </row>
    <row r="11" spans="1:89" ht="25.5">
      <c r="A11" s="117">
        <v>1034</v>
      </c>
      <c r="B11" s="121">
        <v>1035</v>
      </c>
      <c r="C11" s="143" t="s">
        <v>381</v>
      </c>
      <c r="D11" s="153"/>
      <c r="E11" s="144">
        <f>-VLOOKUP($A11,$AH:$CI,2,FALSE)+VLOOKUP($B11,$AH:$CI,2,FALSE)</f>
        <v>2639</v>
      </c>
      <c r="F11" s="155"/>
      <c r="G11" s="144">
        <f>-VLOOKUP($A11,$AH:$CI,4,FALSE)+VLOOKUP($B11,$AH:$CI,4,FALSE)</f>
        <v>604</v>
      </c>
      <c r="H11" s="155"/>
      <c r="I11" s="144">
        <f>-VLOOKUP($A11,$AH:$CI,6,FALSE)+VLOOKUP($B11,$AH:$CI,6,FALSE)</f>
        <v>3243</v>
      </c>
      <c r="J11" s="155"/>
      <c r="K11" s="144">
        <f>-VLOOKUP($A11,$AH:$CI,8,FALSE)+VLOOKUP($B11,$AH:$CI,8,FALSE)</f>
        <v>-49637</v>
      </c>
      <c r="L11" s="155"/>
      <c r="M11" s="144">
        <f>-VLOOKUP($A11,$AH:$CI,10,FALSE)+VLOOKUP($B11,$AH:$CI,10,FALSE)</f>
        <v>8325</v>
      </c>
      <c r="N11" s="155"/>
      <c r="O11" s="144">
        <f>-VLOOKUP($A11,$AH:$CI,12,FALSE)+VLOOKUP($B11,$AH:$CI,12,FALSE)</f>
        <v>-6037</v>
      </c>
      <c r="P11" s="155"/>
      <c r="Q11" s="144">
        <f>-VLOOKUP($A11,$AH:$CI,14,FALSE)+VLOOKUP($B11,$AH:$CI,14,FALSE)</f>
        <v>29807</v>
      </c>
      <c r="R11" s="155"/>
      <c r="S11" s="144">
        <f>-VLOOKUP($A11,$AH:$CI,16,FALSE)+VLOOKUP($B11,$AH:$CI,16,FALSE)</f>
        <v>-382671</v>
      </c>
      <c r="T11" s="155"/>
      <c r="U11" s="144">
        <f>-VLOOKUP($A11,$AH:$CI,18,FALSE)+VLOOKUP($B11,$AH:$CI,18,FALSE)</f>
        <v>-1401710</v>
      </c>
      <c r="V11" s="155"/>
      <c r="W11" s="144">
        <f>-VLOOKUP($A11,$AH:$CI,20,FALSE)+VLOOKUP($B11,$AH:$CI,20,FALSE)</f>
        <v>-5508</v>
      </c>
      <c r="X11" s="155"/>
      <c r="Y11" s="144">
        <f>-VLOOKUP($A11,$AH:$CI,22,FALSE)+VLOOKUP($B11,$AH:$CI,22,FALSE)</f>
        <v>-22242</v>
      </c>
      <c r="Z11" s="155"/>
      <c r="AA11" s="144">
        <f>-VLOOKUP($A11,$AH:$CI,24,FALSE)+VLOOKUP($B11,$AH:$CI,24,FALSE)</f>
        <v>-1829673</v>
      </c>
      <c r="AB11" s="155"/>
      <c r="AC11" s="144">
        <f>-VLOOKUP($A11,$AH:$CI,26,FALSE)+VLOOKUP($B11,$AH:$CI,26,FALSE)</f>
        <v>-1826430</v>
      </c>
      <c r="AD11" s="110" t="s">
        <v>380</v>
      </c>
      <c r="AE11" s="124">
        <f>AC11+BG36-BG37</f>
        <v>0</v>
      </c>
      <c r="AG11" s="85" t="s">
        <v>293</v>
      </c>
      <c r="AH11" s="255">
        <v>1009</v>
      </c>
      <c r="AI11" s="219">
        <f>'1. OŽ'!G30</f>
        <v>0</v>
      </c>
      <c r="AK11" s="219">
        <f>'2. ŽO osim OŽ'!G30</f>
        <v>0</v>
      </c>
      <c r="AM11" s="219">
        <f>'3. ŽO zbirno'!G30</f>
        <v>0</v>
      </c>
      <c r="AO11" s="219">
        <f>'4. N i DZ'!G30</f>
        <v>0</v>
      </c>
      <c r="AQ11" s="219">
        <f>'5. MV'!G30</f>
        <v>0</v>
      </c>
      <c r="AS11" s="219">
        <f>'6. PO i TR'!G30</f>
        <v>0</v>
      </c>
      <c r="AU11" s="219">
        <f>'7. VAZ'!G30</f>
        <v>0</v>
      </c>
      <c r="AW11" s="219">
        <f>'8. IMOV'!G30</f>
        <v>0</v>
      </c>
      <c r="AY11" s="219">
        <f>'9. ODG.'!G30</f>
        <v>0</v>
      </c>
      <c r="BA11" s="219">
        <f>'10.KJ'!G30</f>
        <v>0</v>
      </c>
      <c r="BC11" s="219">
        <f>'11. OST.'!G30</f>
        <v>0</v>
      </c>
      <c r="BE11" s="219">
        <f>'12. NZZ'!G30</f>
        <v>0</v>
      </c>
      <c r="BG11" s="219">
        <f>'13. ukupno'!G30</f>
        <v>0</v>
      </c>
      <c r="BH11" s="124">
        <f t="shared" si="0"/>
        <v>0</v>
      </c>
      <c r="BI11" s="124">
        <f t="shared" si="1"/>
        <v>0</v>
      </c>
      <c r="BJ11" s="124">
        <f t="shared" si="2"/>
        <v>0</v>
      </c>
      <c r="BK11" s="120">
        <f>'1. OŽ'!H30</f>
        <v>0</v>
      </c>
      <c r="BM11" s="120">
        <f>'2. ŽO osim OŽ'!H30</f>
        <v>0</v>
      </c>
      <c r="BO11" s="120">
        <f>'3. ŽO zbirno'!H30</f>
        <v>0</v>
      </c>
      <c r="BQ11" s="120">
        <f>'4. N i DZ'!H30</f>
        <v>0</v>
      </c>
      <c r="BS11" s="120">
        <f>'5. MV'!H30</f>
        <v>0</v>
      </c>
      <c r="BU11" s="120">
        <f>'6. PO i TR'!H30</f>
        <v>0</v>
      </c>
      <c r="BW11" s="120">
        <f>'7. VAZ'!H30</f>
        <v>0</v>
      </c>
      <c r="BY11" s="120">
        <f>'8. IMOV'!H30</f>
        <v>0</v>
      </c>
      <c r="CA11" s="120">
        <f>'9. ODG.'!H30</f>
        <v>0</v>
      </c>
      <c r="CC11" s="120">
        <f>'10.KJ'!H30</f>
        <v>0</v>
      </c>
      <c r="CE11" s="120">
        <f>'11. OST.'!H30</f>
        <v>0</v>
      </c>
      <c r="CG11" s="120">
        <f>'12. NZZ'!H30</f>
        <v>0</v>
      </c>
      <c r="CI11" s="120">
        <f>'13. ukupno'!H30</f>
        <v>0</v>
      </c>
      <c r="CJ11" s="124">
        <f t="shared" si="3"/>
        <v>0</v>
      </c>
      <c r="CK11" s="124">
        <f t="shared" si="4"/>
        <v>0</v>
      </c>
    </row>
    <row r="12" spans="1:89" ht="33.75">
      <c r="B12" s="121">
        <v>1044</v>
      </c>
      <c r="C12" s="143" t="s">
        <v>379</v>
      </c>
      <c r="D12" s="153"/>
      <c r="E12" s="144">
        <f>VLOOKUP($B12,$AH:$CI,2,FALSE)</f>
        <v>0</v>
      </c>
      <c r="F12" s="155"/>
      <c r="G12" s="144">
        <f>VLOOKUP($B12,$AH:$CI,4,FALSE)</f>
        <v>0</v>
      </c>
      <c r="H12" s="155"/>
      <c r="I12" s="144">
        <f>VLOOKUP($B12,$AH:$CI,6,FALSE)</f>
        <v>0</v>
      </c>
      <c r="J12" s="155"/>
      <c r="K12" s="144">
        <f>VLOOKUP($B12,$AH:$CI,8,FALSE)</f>
        <v>209</v>
      </c>
      <c r="L12" s="155"/>
      <c r="M12" s="144">
        <f>VLOOKUP($B12,$AH:$CI,10,FALSE)</f>
        <v>99032</v>
      </c>
      <c r="N12" s="155"/>
      <c r="O12" s="144">
        <f>VLOOKUP($B12,$AH:$CI,12,FALSE)</f>
        <v>4129</v>
      </c>
      <c r="P12" s="155"/>
      <c r="Q12" s="144">
        <f>VLOOKUP($B12,$AH:$CI,14,FALSE)</f>
        <v>4</v>
      </c>
      <c r="R12" s="155"/>
      <c r="S12" s="144">
        <f>VLOOKUP($B12,$AH:$CI,16,FALSE)</f>
        <v>2333</v>
      </c>
      <c r="T12" s="155"/>
      <c r="U12" s="144">
        <f>VLOOKUP($B12,$AH:$CI,18,FALSE)</f>
        <v>227320</v>
      </c>
      <c r="V12" s="155"/>
      <c r="W12" s="144">
        <f>VLOOKUP($B12,$AH:$CI,20,FALSE)</f>
        <v>12275</v>
      </c>
      <c r="X12" s="155"/>
      <c r="Y12" s="144">
        <f>VLOOKUP($B12,$AH:$CI,22,FALSE)</f>
        <v>46</v>
      </c>
      <c r="Z12" s="155"/>
      <c r="AA12" s="144">
        <f>VLOOKUP($B12,$AH:$CI,24,FALSE)</f>
        <v>345348</v>
      </c>
      <c r="AB12" s="155"/>
      <c r="AC12" s="144">
        <f>VLOOKUP($B12,$AH:$CI,26,FALSE)</f>
        <v>345348</v>
      </c>
      <c r="AD12" s="110" t="s">
        <v>378</v>
      </c>
      <c r="AE12" s="124">
        <f>AC12-BG46</f>
        <v>0</v>
      </c>
      <c r="AG12" s="39" t="s">
        <v>20</v>
      </c>
      <c r="AH12" s="256">
        <v>1010</v>
      </c>
      <c r="AI12" s="220">
        <f>'1. OŽ'!G31</f>
        <v>0</v>
      </c>
      <c r="AK12" s="220">
        <f>'2. ŽO osim OŽ'!G31</f>
        <v>0</v>
      </c>
      <c r="AM12" s="220">
        <f>'3. ŽO zbirno'!G31</f>
        <v>0</v>
      </c>
      <c r="AO12" s="220">
        <f>'4. N i DZ'!G31</f>
        <v>0</v>
      </c>
      <c r="AQ12" s="220">
        <f>'5. MV'!G31</f>
        <v>0</v>
      </c>
      <c r="AS12" s="220">
        <f>'6. PO i TR'!G31</f>
        <v>0</v>
      </c>
      <c r="AU12" s="220">
        <f>'7. VAZ'!G31</f>
        <v>0</v>
      </c>
      <c r="AW12" s="220">
        <f>'8. IMOV'!G31</f>
        <v>0</v>
      </c>
      <c r="AY12" s="220">
        <f>'9. ODG.'!G31</f>
        <v>0</v>
      </c>
      <c r="BA12" s="220">
        <f>'10.KJ'!G31</f>
        <v>0</v>
      </c>
      <c r="BC12" s="220">
        <f>'11. OST.'!G31</f>
        <v>0</v>
      </c>
      <c r="BE12" s="220">
        <f>'12. NZZ'!G31</f>
        <v>0</v>
      </c>
      <c r="BG12" s="220">
        <f>'13. ukupno'!G31</f>
        <v>0</v>
      </c>
      <c r="BH12" s="124">
        <f t="shared" si="0"/>
        <v>0</v>
      </c>
      <c r="BI12" s="124">
        <f t="shared" si="1"/>
        <v>0</v>
      </c>
      <c r="BJ12" s="124">
        <f t="shared" si="2"/>
        <v>0</v>
      </c>
      <c r="BK12" s="120">
        <f>'1. OŽ'!H31</f>
        <v>0</v>
      </c>
      <c r="BM12" s="120">
        <f>'2. ŽO osim OŽ'!H31</f>
        <v>0</v>
      </c>
      <c r="BO12" s="120">
        <f>'3. ŽO zbirno'!H31</f>
        <v>0</v>
      </c>
      <c r="BQ12" s="120">
        <f>'4. N i DZ'!H31</f>
        <v>0</v>
      </c>
      <c r="BS12" s="120">
        <f>'5. MV'!H31</f>
        <v>0</v>
      </c>
      <c r="BU12" s="120">
        <f>'6. PO i TR'!H31</f>
        <v>0</v>
      </c>
      <c r="BW12" s="120">
        <f>'7. VAZ'!H31</f>
        <v>0</v>
      </c>
      <c r="BY12" s="120">
        <f>'8. IMOV'!H31</f>
        <v>0</v>
      </c>
      <c r="CA12" s="120">
        <f>'9. ODG.'!H31</f>
        <v>0</v>
      </c>
      <c r="CC12" s="120">
        <f>'10.KJ'!H31</f>
        <v>0</v>
      </c>
      <c r="CE12" s="120">
        <f>'11. OST.'!H31</f>
        <v>0</v>
      </c>
      <c r="CG12" s="120">
        <f>'12. NZZ'!H31</f>
        <v>0</v>
      </c>
      <c r="CI12" s="120">
        <f>'13. ukupno'!H31</f>
        <v>0</v>
      </c>
      <c r="CJ12" s="124">
        <f t="shared" si="3"/>
        <v>0</v>
      </c>
      <c r="CK12" s="124">
        <f t="shared" si="4"/>
        <v>0</v>
      </c>
    </row>
    <row r="13" spans="1:89" ht="25.5">
      <c r="B13" s="121">
        <v>1046</v>
      </c>
      <c r="C13" s="143" t="s">
        <v>377</v>
      </c>
      <c r="D13" s="153"/>
      <c r="E13" s="144">
        <f>VLOOKUP($B13,$AH:$CI,2,FALSE)</f>
        <v>6399</v>
      </c>
      <c r="F13" s="155"/>
      <c r="G13" s="144">
        <f>VLOOKUP($B13,$AH:$CI,4,FALSE)</f>
        <v>0</v>
      </c>
      <c r="H13" s="155"/>
      <c r="I13" s="144">
        <f>VLOOKUP($B13,$AH:$CI,6,FALSE)</f>
        <v>6399</v>
      </c>
      <c r="J13" s="155"/>
      <c r="K13" s="144">
        <f>VLOOKUP($B13,$AH:$CI,8,FALSE)</f>
        <v>80009</v>
      </c>
      <c r="L13" s="155"/>
      <c r="M13" s="144">
        <f>VLOOKUP($B13,$AH:$CI,10,FALSE)</f>
        <v>0</v>
      </c>
      <c r="N13" s="155"/>
      <c r="O13" s="144">
        <f>VLOOKUP($B13,$AH:$CI,12,FALSE)</f>
        <v>57178</v>
      </c>
      <c r="P13" s="155"/>
      <c r="Q13" s="144">
        <f>VLOOKUP($B13,$AH:$CI,14,FALSE)</f>
        <v>0</v>
      </c>
      <c r="R13" s="155"/>
      <c r="S13" s="144">
        <f>VLOOKUP($B13,$AH:$CI,16,FALSE)</f>
        <v>0</v>
      </c>
      <c r="T13" s="155"/>
      <c r="U13" s="144">
        <f>VLOOKUP($B13,$AH:$CI,18,FALSE)</f>
        <v>1268855</v>
      </c>
      <c r="V13" s="155"/>
      <c r="W13" s="144">
        <f>VLOOKUP($B13,$AH:$CI,20,FALSE)</f>
        <v>409</v>
      </c>
      <c r="X13" s="155"/>
      <c r="Y13" s="144">
        <f>VLOOKUP($B13,$AH:$CI,22,FALSE)</f>
        <v>14962</v>
      </c>
      <c r="Z13" s="155"/>
      <c r="AA13" s="144">
        <f>VLOOKUP($B13,$AH:$CI,24,FALSE)</f>
        <v>1421413</v>
      </c>
      <c r="AB13" s="155"/>
      <c r="AC13" s="144">
        <f>VLOOKUP($B13,$AH:$CI,26,FALSE)</f>
        <v>1427812</v>
      </c>
      <c r="AD13" s="110" t="s">
        <v>376</v>
      </c>
      <c r="AE13" s="124">
        <f>AC13-BG48</f>
        <v>0</v>
      </c>
      <c r="AG13" s="39" t="s">
        <v>323</v>
      </c>
      <c r="AH13" s="256">
        <v>1011</v>
      </c>
      <c r="AI13" s="220">
        <f>'1. OŽ'!G32</f>
        <v>0</v>
      </c>
      <c r="AK13" s="220">
        <f>'2. ŽO osim OŽ'!G32</f>
        <v>0</v>
      </c>
      <c r="AM13" s="220">
        <f>'3. ŽO zbirno'!G32</f>
        <v>0</v>
      </c>
      <c r="AO13" s="220">
        <f>'4. N i DZ'!G32</f>
        <v>0</v>
      </c>
      <c r="AQ13" s="220">
        <f>'5. MV'!G32</f>
        <v>0</v>
      </c>
      <c r="AS13" s="220">
        <f>'6. PO i TR'!G32</f>
        <v>0</v>
      </c>
      <c r="AU13" s="220">
        <f>'7. VAZ'!G32</f>
        <v>0</v>
      </c>
      <c r="AW13" s="220">
        <f>'8. IMOV'!G32</f>
        <v>0</v>
      </c>
      <c r="AY13" s="220">
        <f>'9. ODG.'!G32</f>
        <v>0</v>
      </c>
      <c r="BA13" s="220">
        <f>'10.KJ'!G32</f>
        <v>0</v>
      </c>
      <c r="BC13" s="220">
        <f>'11. OST.'!G32</f>
        <v>0</v>
      </c>
      <c r="BE13" s="220">
        <f>'12. NZZ'!G32</f>
        <v>0</v>
      </c>
      <c r="BG13" s="220">
        <f>'13. ukupno'!G32</f>
        <v>0</v>
      </c>
      <c r="BH13" s="124">
        <f t="shared" si="0"/>
        <v>0</v>
      </c>
      <c r="BI13" s="124">
        <f t="shared" si="1"/>
        <v>0</v>
      </c>
      <c r="BJ13" s="124">
        <f t="shared" si="2"/>
        <v>0</v>
      </c>
      <c r="BK13" s="120">
        <f>'1. OŽ'!H32</f>
        <v>0</v>
      </c>
      <c r="BM13" s="120">
        <f>'2. ŽO osim OŽ'!H32</f>
        <v>0</v>
      </c>
      <c r="BO13" s="120">
        <f>'3. ŽO zbirno'!H32</f>
        <v>0</v>
      </c>
      <c r="BQ13" s="120">
        <f>'4. N i DZ'!H32</f>
        <v>0</v>
      </c>
      <c r="BS13" s="120">
        <f>'5. MV'!H32</f>
        <v>0</v>
      </c>
      <c r="BU13" s="120">
        <f>'6. PO i TR'!H32</f>
        <v>0</v>
      </c>
      <c r="BW13" s="120">
        <f>'7. VAZ'!H32</f>
        <v>0</v>
      </c>
      <c r="BY13" s="120">
        <f>'8. IMOV'!H32</f>
        <v>0</v>
      </c>
      <c r="CA13" s="120">
        <f>'9. ODG.'!H32</f>
        <v>0</v>
      </c>
      <c r="CC13" s="120">
        <f>'10.KJ'!H32</f>
        <v>0</v>
      </c>
      <c r="CE13" s="120">
        <f>'11. OST.'!H32</f>
        <v>0</v>
      </c>
      <c r="CG13" s="120">
        <f>'12. NZZ'!H32</f>
        <v>0</v>
      </c>
      <c r="CI13" s="120">
        <f>'13. ukupno'!H32</f>
        <v>0</v>
      </c>
      <c r="CJ13" s="124">
        <f t="shared" si="3"/>
        <v>0</v>
      </c>
      <c r="CK13" s="124">
        <f t="shared" si="4"/>
        <v>0</v>
      </c>
    </row>
    <row r="14" spans="1:89" ht="25.5">
      <c r="B14" s="121">
        <v>1047</v>
      </c>
      <c r="C14" s="143" t="s">
        <v>375</v>
      </c>
      <c r="D14" s="153"/>
      <c r="E14" s="144">
        <f>-VLOOKUP($B14,$AH:$CI,2,FALSE)</f>
        <v>0</v>
      </c>
      <c r="F14" s="155"/>
      <c r="G14" s="144">
        <f>-VLOOKUP($B14,$AH:$CI,4,FALSE)</f>
        <v>0</v>
      </c>
      <c r="H14" s="155"/>
      <c r="I14" s="144">
        <f>-VLOOKUP($B14,$AH:$CI,6,FALSE)</f>
        <v>0</v>
      </c>
      <c r="J14" s="155"/>
      <c r="K14" s="144">
        <f>-VLOOKUP($B14,$AH:$CI,8,FALSE)</f>
        <v>-46724</v>
      </c>
      <c r="L14" s="155"/>
      <c r="M14" s="144">
        <f>-VLOOKUP($B14,$AH:$CI,10,FALSE)</f>
        <v>-123252</v>
      </c>
      <c r="N14" s="155"/>
      <c r="O14" s="144">
        <f>-VLOOKUP($B14,$AH:$CI,12,FALSE)</f>
        <v>-29379</v>
      </c>
      <c r="P14" s="155"/>
      <c r="Q14" s="144">
        <f>-VLOOKUP($B14,$AH:$CI,14,FALSE)</f>
        <v>-2882</v>
      </c>
      <c r="R14" s="155"/>
      <c r="S14" s="144">
        <f>-VLOOKUP($B14,$AH:$CI,16,FALSE)</f>
        <v>-323690</v>
      </c>
      <c r="T14" s="155"/>
      <c r="U14" s="144">
        <f>-VLOOKUP($B14,$AH:$CI,18,FALSE)</f>
        <v>-20368</v>
      </c>
      <c r="V14" s="155"/>
      <c r="W14" s="144">
        <f>-VLOOKUP($B14,$AH:$CI,20,FALSE)</f>
        <v>-11430</v>
      </c>
      <c r="X14" s="155"/>
      <c r="Y14" s="144">
        <f>-VLOOKUP($B14,$AH:$CI,22,FALSE)</f>
        <v>-19537</v>
      </c>
      <c r="Z14" s="155"/>
      <c r="AA14" s="144">
        <f>-VLOOKUP($B14,$AH:$CI,24,FALSE)</f>
        <v>-577262</v>
      </c>
      <c r="AB14" s="155"/>
      <c r="AC14" s="144">
        <f>-VLOOKUP($B14,$AH:$CI,26,FALSE)</f>
        <v>-577262</v>
      </c>
      <c r="AD14" s="110" t="s">
        <v>374</v>
      </c>
      <c r="AE14" s="124">
        <f>AC14+BG49</f>
        <v>0</v>
      </c>
      <c r="AG14" s="39" t="s">
        <v>324</v>
      </c>
      <c r="AH14" s="256">
        <v>1012</v>
      </c>
      <c r="AI14" s="220">
        <f>'1. OŽ'!G33</f>
        <v>0</v>
      </c>
      <c r="AK14" s="220">
        <f>'2. ŽO osim OŽ'!G33</f>
        <v>0</v>
      </c>
      <c r="AM14" s="220">
        <f>'3. ŽO zbirno'!G33</f>
        <v>0</v>
      </c>
      <c r="AO14" s="220">
        <f>'4. N i DZ'!G33</f>
        <v>0</v>
      </c>
      <c r="AQ14" s="220">
        <f>'5. MV'!G33</f>
        <v>0</v>
      </c>
      <c r="AS14" s="220">
        <f>'6. PO i TR'!G33</f>
        <v>0</v>
      </c>
      <c r="AU14" s="220">
        <f>'7. VAZ'!G33</f>
        <v>0</v>
      </c>
      <c r="AW14" s="220">
        <f>'8. IMOV'!G33</f>
        <v>0</v>
      </c>
      <c r="AY14" s="220">
        <f>'9. ODG.'!G33</f>
        <v>0</v>
      </c>
      <c r="BA14" s="220">
        <f>'10.KJ'!G33</f>
        <v>0</v>
      </c>
      <c r="BC14" s="220">
        <f>'11. OST.'!G33</f>
        <v>0</v>
      </c>
      <c r="BE14" s="220">
        <f>'12. NZZ'!G33</f>
        <v>0</v>
      </c>
      <c r="BG14" s="220">
        <f>'13. ukupno'!G33</f>
        <v>0</v>
      </c>
      <c r="BH14" s="124">
        <f t="shared" si="0"/>
        <v>0</v>
      </c>
      <c r="BI14" s="124">
        <f t="shared" si="1"/>
        <v>0</v>
      </c>
      <c r="BJ14" s="124">
        <f t="shared" si="2"/>
        <v>0</v>
      </c>
      <c r="BK14" s="120">
        <f>'1. OŽ'!H33</f>
        <v>0</v>
      </c>
      <c r="BM14" s="120">
        <f>'2. ŽO osim OŽ'!H33</f>
        <v>0</v>
      </c>
      <c r="BO14" s="120">
        <f>'3. ŽO zbirno'!H33</f>
        <v>0</v>
      </c>
      <c r="BQ14" s="120">
        <f>'4. N i DZ'!H33</f>
        <v>0</v>
      </c>
      <c r="BS14" s="120">
        <f>'5. MV'!H33</f>
        <v>0</v>
      </c>
      <c r="BU14" s="120">
        <f>'6. PO i TR'!H33</f>
        <v>0</v>
      </c>
      <c r="BW14" s="120">
        <f>'7. VAZ'!H33</f>
        <v>0</v>
      </c>
      <c r="BY14" s="120">
        <f>'8. IMOV'!H33</f>
        <v>0</v>
      </c>
      <c r="CA14" s="120">
        <f>'9. ODG.'!H33</f>
        <v>0</v>
      </c>
      <c r="CC14" s="120">
        <f>'10.KJ'!H33</f>
        <v>0</v>
      </c>
      <c r="CE14" s="120">
        <f>'11. OST.'!H33</f>
        <v>0</v>
      </c>
      <c r="CG14" s="120">
        <f>'12. NZZ'!H33</f>
        <v>0</v>
      </c>
      <c r="CI14" s="120">
        <f>'13. ukupno'!H33</f>
        <v>0</v>
      </c>
      <c r="CJ14" s="124">
        <f t="shared" si="3"/>
        <v>0</v>
      </c>
      <c r="CK14" s="124">
        <f t="shared" si="4"/>
        <v>0</v>
      </c>
    </row>
    <row r="15" spans="1:89" ht="25.5">
      <c r="B15" s="121">
        <v>1048</v>
      </c>
      <c r="C15" s="143" t="s">
        <v>373</v>
      </c>
      <c r="D15" s="153"/>
      <c r="E15" s="144">
        <f>VLOOKUP($B15,$AH:$CI,2,FALSE)</f>
        <v>0</v>
      </c>
      <c r="F15" s="155"/>
      <c r="G15" s="144">
        <f>VLOOKUP($B15,$AH:$CI,4,FALSE)</f>
        <v>0</v>
      </c>
      <c r="H15" s="155"/>
      <c r="I15" s="144">
        <f>VLOOKUP($B15,$AH:$CI,6,FALSE)</f>
        <v>0</v>
      </c>
      <c r="J15" s="155"/>
      <c r="K15" s="145">
        <f>VLOOKUP($B15,$AH:$CI,8,FALSE)</f>
        <v>0</v>
      </c>
      <c r="L15" s="155"/>
      <c r="M15" s="144">
        <f>VLOOKUP($B15,$AH:$CI,10,FALSE)</f>
        <v>0</v>
      </c>
      <c r="N15" s="155"/>
      <c r="O15" s="144">
        <f>VLOOKUP($B15,$AH:$CI,12,FALSE)</f>
        <v>0</v>
      </c>
      <c r="P15" s="155"/>
      <c r="Q15" s="144">
        <f>VLOOKUP($B15,$AH:$CI,14,FALSE)</f>
        <v>0</v>
      </c>
      <c r="R15" s="155"/>
      <c r="S15" s="145">
        <f>VLOOKUP($B15,$AH:$CI,16,FALSE)</f>
        <v>0</v>
      </c>
      <c r="T15" s="155"/>
      <c r="U15" s="144">
        <f>VLOOKUP($B15,$AH:$CI,18,FALSE)</f>
        <v>0</v>
      </c>
      <c r="V15" s="155"/>
      <c r="W15" s="144">
        <f>VLOOKUP($B15,$AH:$CI,20,FALSE)</f>
        <v>0</v>
      </c>
      <c r="X15" s="155"/>
      <c r="Y15" s="144">
        <f>VLOOKUP($B15,$AH:$CI,22,FALSE)</f>
        <v>0</v>
      </c>
      <c r="Z15" s="155"/>
      <c r="AA15" s="144">
        <f>VLOOKUP($B15,$AH:$CI,24,FALSE)</f>
        <v>0</v>
      </c>
      <c r="AB15" s="155"/>
      <c r="AC15" s="145">
        <f>VLOOKUP($B15,$AH:$CI,26,FALSE)</f>
        <v>0</v>
      </c>
      <c r="AD15" s="110" t="s">
        <v>372</v>
      </c>
      <c r="AE15" s="124">
        <f>AC15-BG50</f>
        <v>0</v>
      </c>
      <c r="AG15" s="39" t="s">
        <v>325</v>
      </c>
      <c r="AH15" s="256">
        <v>1013</v>
      </c>
      <c r="AI15" s="220">
        <f>'1. OŽ'!G34</f>
        <v>0</v>
      </c>
      <c r="AK15" s="220">
        <f>'2. ŽO osim OŽ'!G34</f>
        <v>0</v>
      </c>
      <c r="AM15" s="220">
        <f>'3. ŽO zbirno'!G34</f>
        <v>0</v>
      </c>
      <c r="AO15" s="220">
        <f>'4. N i DZ'!G34</f>
        <v>0</v>
      </c>
      <c r="AQ15" s="220">
        <f>'5. MV'!G34</f>
        <v>0</v>
      </c>
      <c r="AS15" s="220">
        <f>'6. PO i TR'!G34</f>
        <v>0</v>
      </c>
      <c r="AU15" s="220">
        <f>'7. VAZ'!G34</f>
        <v>0</v>
      </c>
      <c r="AW15" s="220">
        <f>'8. IMOV'!G34</f>
        <v>0</v>
      </c>
      <c r="AY15" s="220">
        <f>'9. ODG.'!G34</f>
        <v>0</v>
      </c>
      <c r="BA15" s="220">
        <f>'10.KJ'!G34</f>
        <v>0</v>
      </c>
      <c r="BC15" s="220">
        <f>'11. OST.'!G34</f>
        <v>0</v>
      </c>
      <c r="BE15" s="220">
        <f>'12. NZZ'!G34</f>
        <v>0</v>
      </c>
      <c r="BG15" s="220">
        <f>'13. ukupno'!G34</f>
        <v>0</v>
      </c>
      <c r="BH15" s="124">
        <f t="shared" si="0"/>
        <v>0</v>
      </c>
      <c r="BI15" s="124">
        <f t="shared" si="1"/>
        <v>0</v>
      </c>
      <c r="BJ15" s="124">
        <f t="shared" si="2"/>
        <v>0</v>
      </c>
      <c r="BK15" s="120">
        <f>'1. OŽ'!H34</f>
        <v>0</v>
      </c>
      <c r="BM15" s="120">
        <f>'2. ŽO osim OŽ'!H34</f>
        <v>0</v>
      </c>
      <c r="BO15" s="120">
        <f>'3. ŽO zbirno'!H34</f>
        <v>0</v>
      </c>
      <c r="BQ15" s="120">
        <f>'4. N i DZ'!H34</f>
        <v>0</v>
      </c>
      <c r="BS15" s="120">
        <f>'5. MV'!H34</f>
        <v>0</v>
      </c>
      <c r="BU15" s="120">
        <f>'6. PO i TR'!H34</f>
        <v>0</v>
      </c>
      <c r="BW15" s="120">
        <f>'7. VAZ'!H34</f>
        <v>0</v>
      </c>
      <c r="BY15" s="120">
        <f>'8. IMOV'!H34</f>
        <v>0</v>
      </c>
      <c r="CA15" s="120">
        <f>'9. ODG.'!H34</f>
        <v>0</v>
      </c>
      <c r="CC15" s="120">
        <f>'10.KJ'!H34</f>
        <v>0</v>
      </c>
      <c r="CE15" s="120">
        <f>'11. OST.'!H34</f>
        <v>0</v>
      </c>
      <c r="CG15" s="120">
        <f>'12. NZZ'!H34</f>
        <v>0</v>
      </c>
      <c r="CI15" s="120">
        <f>'13. ukupno'!H34</f>
        <v>0</v>
      </c>
      <c r="CJ15" s="124">
        <f t="shared" si="3"/>
        <v>0</v>
      </c>
      <c r="CK15" s="124">
        <f t="shared" si="4"/>
        <v>0</v>
      </c>
    </row>
    <row r="16" spans="1:89" ht="25.5">
      <c r="B16" s="121">
        <v>1016</v>
      </c>
      <c r="C16" s="143"/>
      <c r="D16" s="153"/>
      <c r="E16" s="151">
        <f>SUM(E9:E15)</f>
        <v>-987221</v>
      </c>
      <c r="F16" s="153"/>
      <c r="G16" s="151">
        <f>SUM(G9:G15)</f>
        <v>-34460</v>
      </c>
      <c r="H16" s="153"/>
      <c r="I16" s="151">
        <f>SUM(I9:I15)</f>
        <v>-1021681</v>
      </c>
      <c r="J16" s="153"/>
      <c r="K16" s="151">
        <f>SUM(K9:K15)</f>
        <v>-996408</v>
      </c>
      <c r="L16" s="153"/>
      <c r="M16" s="151">
        <f>SUM(M9:M15)</f>
        <v>-1161467</v>
      </c>
      <c r="N16" s="153"/>
      <c r="O16" s="152">
        <f>SUM(O9:O15)</f>
        <v>-63731</v>
      </c>
      <c r="P16" s="153"/>
      <c r="Q16" s="151">
        <f>SUM(Q9:Q15)</f>
        <v>14916</v>
      </c>
      <c r="R16" s="153"/>
      <c r="S16" s="151">
        <f>SUM(S9:S15)</f>
        <v>-3069738</v>
      </c>
      <c r="T16" s="153"/>
      <c r="U16" s="151">
        <f>SUM(U9:U15)</f>
        <v>-4316624</v>
      </c>
      <c r="V16" s="155"/>
      <c r="W16" s="152">
        <f>SUM(W9:W15)</f>
        <v>-35709</v>
      </c>
      <c r="X16" s="155"/>
      <c r="Y16" s="151">
        <f>SUM(Y9:Y15)</f>
        <v>-139931</v>
      </c>
      <c r="Z16" s="155"/>
      <c r="AA16" s="152">
        <f>SUM(AA9:AA15)</f>
        <v>-9768692</v>
      </c>
      <c r="AB16" s="155"/>
      <c r="AC16" s="151">
        <f>SUM(AC9:AC15)</f>
        <v>-10790373</v>
      </c>
      <c r="AD16" s="110" t="s">
        <v>371</v>
      </c>
      <c r="AE16" s="124">
        <f>AC16+BG18</f>
        <v>0</v>
      </c>
      <c r="AG16" s="85" t="s">
        <v>121</v>
      </c>
      <c r="AH16" s="255">
        <v>1014</v>
      </c>
      <c r="AI16" s="219">
        <f>'1. OŽ'!G35</f>
        <v>0</v>
      </c>
      <c r="AK16" s="219">
        <f>'2. ŽO osim OŽ'!G35</f>
        <v>0</v>
      </c>
      <c r="AM16" s="219">
        <f>'3. ŽO zbirno'!G35</f>
        <v>0</v>
      </c>
      <c r="AO16" s="219">
        <f>'4. N i DZ'!G35</f>
        <v>803</v>
      </c>
      <c r="AQ16" s="219">
        <f>'5. MV'!G35</f>
        <v>1027</v>
      </c>
      <c r="AS16" s="219">
        <f>'6. PO i TR'!G35</f>
        <v>499</v>
      </c>
      <c r="AU16" s="219">
        <f>'7. VAZ'!G35</f>
        <v>119</v>
      </c>
      <c r="AW16" s="219">
        <f>'8. IMOV'!G35</f>
        <v>6749</v>
      </c>
      <c r="AY16" s="219">
        <f>'9. ODG.'!G35</f>
        <v>245110</v>
      </c>
      <c r="BA16" s="219">
        <f>'10.KJ'!G35</f>
        <v>83</v>
      </c>
      <c r="BC16" s="219">
        <f>'11. OST.'!G35</f>
        <v>137</v>
      </c>
      <c r="BE16" s="219">
        <f>'12. NZZ'!G35</f>
        <v>254527</v>
      </c>
      <c r="BG16" s="219">
        <f>'13. ukupno'!G35</f>
        <v>254527</v>
      </c>
      <c r="BH16" s="124">
        <f t="shared" si="0"/>
        <v>0</v>
      </c>
      <c r="BI16" s="124">
        <f t="shared" si="1"/>
        <v>0</v>
      </c>
      <c r="BJ16" s="124">
        <f t="shared" si="2"/>
        <v>0</v>
      </c>
      <c r="BK16" s="120">
        <f>'1. OŽ'!H35</f>
        <v>0</v>
      </c>
      <c r="BM16" s="120">
        <f>'2. ŽO osim OŽ'!H35</f>
        <v>0</v>
      </c>
      <c r="BO16" s="120">
        <f>'3. ŽO zbirno'!H35</f>
        <v>0</v>
      </c>
      <c r="BQ16" s="120">
        <f>'4. N i DZ'!H35</f>
        <v>1047</v>
      </c>
      <c r="BS16" s="120">
        <f>'5. MV'!H35</f>
        <v>0</v>
      </c>
      <c r="BU16" s="120">
        <f>'6. PO i TR'!H35</f>
        <v>0</v>
      </c>
      <c r="BW16" s="120">
        <f>'7. VAZ'!H35</f>
        <v>158</v>
      </c>
      <c r="BY16" s="120">
        <f>'8. IMOV'!H35</f>
        <v>5822</v>
      </c>
      <c r="CA16" s="120">
        <f>'9. ODG.'!H35</f>
        <v>207283</v>
      </c>
      <c r="CC16" s="120">
        <f>'10.KJ'!H35</f>
        <v>0</v>
      </c>
      <c r="CE16" s="120">
        <f>'11. OST.'!H35</f>
        <v>130</v>
      </c>
      <c r="CG16" s="120">
        <f>'12. NZZ'!H35</f>
        <v>0</v>
      </c>
      <c r="CI16" s="120">
        <f>'13. ukupno'!H35</f>
        <v>216346</v>
      </c>
      <c r="CJ16" s="124">
        <f t="shared" si="3"/>
        <v>1906</v>
      </c>
      <c r="CK16" s="124">
        <f t="shared" si="4"/>
        <v>216346</v>
      </c>
    </row>
    <row r="17" spans="2:89" ht="20.25" customHeight="1">
      <c r="B17" s="121">
        <v>1049</v>
      </c>
      <c r="C17" s="139" t="s">
        <v>370</v>
      </c>
      <c r="D17" s="165"/>
      <c r="E17" s="164">
        <f>E7+E16</f>
        <v>217619</v>
      </c>
      <c r="F17" s="165"/>
      <c r="G17" s="165">
        <f>G7+G16</f>
        <v>62424</v>
      </c>
      <c r="H17" s="165"/>
      <c r="I17" s="165">
        <f>I7+I16</f>
        <v>280043</v>
      </c>
      <c r="J17" s="165"/>
      <c r="K17" s="165">
        <f>K7+K16</f>
        <v>288196</v>
      </c>
      <c r="L17" s="165"/>
      <c r="M17" s="165">
        <f>M7+M16</f>
        <v>106424</v>
      </c>
      <c r="N17" s="165"/>
      <c r="O17" s="164">
        <f>O7+O16</f>
        <v>189849</v>
      </c>
      <c r="P17" s="165"/>
      <c r="Q17" s="165">
        <f>Q7+Q16</f>
        <v>14637</v>
      </c>
      <c r="R17" s="165"/>
      <c r="S17" s="164">
        <f>S7+S16</f>
        <v>1445334</v>
      </c>
      <c r="T17" s="165"/>
      <c r="U17" s="165">
        <f>U7+U16</f>
        <v>4915261</v>
      </c>
      <c r="V17" s="168"/>
      <c r="W17" s="164">
        <f>W7+W16</f>
        <v>13778</v>
      </c>
      <c r="X17" s="168"/>
      <c r="Y17" s="164">
        <f>Y7+Y16</f>
        <v>230326</v>
      </c>
      <c r="Z17" s="168"/>
      <c r="AA17" s="164">
        <f>AA7+AA16</f>
        <v>7203805</v>
      </c>
      <c r="AB17" s="168"/>
      <c r="AC17" s="165">
        <f>AC7+AC16</f>
        <v>7483848</v>
      </c>
      <c r="AD17" s="110" t="s">
        <v>369</v>
      </c>
      <c r="AE17" s="124">
        <f>AC17-BG51+BG52</f>
        <v>0</v>
      </c>
      <c r="AG17" s="85" t="s">
        <v>124</v>
      </c>
      <c r="AH17" s="255">
        <v>1015</v>
      </c>
      <c r="AI17" s="219">
        <f>'1. OŽ'!G36</f>
        <v>103</v>
      </c>
      <c r="AK17" s="219">
        <f>'2. ŽO osim OŽ'!G36</f>
        <v>0</v>
      </c>
      <c r="AM17" s="219">
        <f>'3. ŽO zbirno'!G36</f>
        <v>103</v>
      </c>
      <c r="AO17" s="219">
        <f>'4. N i DZ'!G36</f>
        <v>1074</v>
      </c>
      <c r="AQ17" s="219">
        <f>'5. MV'!G36</f>
        <v>5682</v>
      </c>
      <c r="AS17" s="219">
        <f>'6. PO i TR'!G36</f>
        <v>333</v>
      </c>
      <c r="AU17" s="219">
        <f>'7. VAZ'!G36</f>
        <v>3013</v>
      </c>
      <c r="AW17" s="219">
        <f>'8. IMOV'!G36</f>
        <v>99118</v>
      </c>
      <c r="AY17" s="219">
        <f>'9. ODG.'!G36</f>
        <v>13042</v>
      </c>
      <c r="BA17" s="219">
        <f>'10.KJ'!G36</f>
        <v>68</v>
      </c>
      <c r="BC17" s="219">
        <f>'11. OST.'!G36</f>
        <v>121</v>
      </c>
      <c r="BE17" s="219">
        <f>'12. NZZ'!G36</f>
        <v>122451</v>
      </c>
      <c r="BG17" s="219">
        <f>'13. ukupno'!G36</f>
        <v>122554</v>
      </c>
      <c r="BH17" s="124">
        <f t="shared" si="0"/>
        <v>0</v>
      </c>
      <c r="BI17" s="124">
        <f t="shared" si="1"/>
        <v>0</v>
      </c>
      <c r="BJ17" s="124">
        <f t="shared" si="2"/>
        <v>0</v>
      </c>
      <c r="BK17" s="120">
        <f>'1. OŽ'!H36</f>
        <v>0</v>
      </c>
      <c r="BM17" s="120">
        <f>'2. ŽO osim OŽ'!H36</f>
        <v>0</v>
      </c>
      <c r="BO17" s="120">
        <f>'3. ŽO zbirno'!H36</f>
        <v>0</v>
      </c>
      <c r="BQ17" s="120">
        <f>'4. N i DZ'!H36</f>
        <v>1160</v>
      </c>
      <c r="BS17" s="120">
        <f>'5. MV'!H36</f>
        <v>0</v>
      </c>
      <c r="BU17" s="120">
        <f>'6. PO i TR'!H36</f>
        <v>0</v>
      </c>
      <c r="BW17" s="120">
        <f>'7. VAZ'!H36</f>
        <v>33</v>
      </c>
      <c r="BY17" s="120">
        <f>'8. IMOV'!H36</f>
        <v>25170</v>
      </c>
      <c r="CA17" s="120">
        <f>'9. ODG.'!H36</f>
        <v>12971</v>
      </c>
      <c r="CC17" s="120">
        <f>'10.KJ'!H36</f>
        <v>0</v>
      </c>
      <c r="CE17" s="120">
        <f>'11. OST.'!H36</f>
        <v>135</v>
      </c>
      <c r="CG17" s="120">
        <f>'12. NZZ'!H36</f>
        <v>0</v>
      </c>
      <c r="CI17" s="120">
        <f>'13. ukupno'!H36</f>
        <v>45757</v>
      </c>
      <c r="CJ17" s="124">
        <f t="shared" si="3"/>
        <v>6288</v>
      </c>
      <c r="CK17" s="124">
        <f t="shared" si="4"/>
        <v>45757</v>
      </c>
    </row>
    <row r="18" spans="2:89" ht="25.5">
      <c r="C18" s="139" t="s">
        <v>368</v>
      </c>
      <c r="D18" s="153"/>
      <c r="E18" s="144"/>
      <c r="F18" s="153"/>
      <c r="G18" s="154"/>
      <c r="H18" s="153"/>
      <c r="I18" s="154"/>
      <c r="J18" s="153"/>
      <c r="K18" s="154"/>
      <c r="L18" s="153"/>
      <c r="M18" s="154"/>
      <c r="N18" s="153"/>
      <c r="O18" s="144"/>
      <c r="P18" s="153"/>
      <c r="Q18" s="154"/>
      <c r="R18" s="153"/>
      <c r="S18" s="144"/>
      <c r="T18" s="153"/>
      <c r="U18" s="154"/>
      <c r="V18" s="155"/>
      <c r="W18" s="144"/>
      <c r="X18" s="155"/>
      <c r="Y18" s="144"/>
      <c r="Z18" s="155"/>
      <c r="AA18" s="154"/>
      <c r="AB18" s="155"/>
      <c r="AC18" s="154"/>
      <c r="AE18" s="124"/>
      <c r="AG18" s="85" t="s">
        <v>294</v>
      </c>
      <c r="AH18" s="254">
        <v>1016</v>
      </c>
      <c r="AI18" s="218">
        <f>'1. OŽ'!G37</f>
        <v>987221</v>
      </c>
      <c r="AK18" s="218">
        <f>'2. ŽO osim OŽ'!G37</f>
        <v>34460</v>
      </c>
      <c r="AM18" s="218">
        <f>'3. ŽO zbirno'!G37</f>
        <v>1021681</v>
      </c>
      <c r="AO18" s="218">
        <f>'4. N i DZ'!G37</f>
        <v>996408</v>
      </c>
      <c r="AQ18" s="218">
        <f>'5. MV'!G37</f>
        <v>1161467</v>
      </c>
      <c r="AS18" s="218">
        <f>'6. PO i TR'!G37</f>
        <v>63731</v>
      </c>
      <c r="AU18" s="218">
        <f>'7. VAZ'!G37</f>
        <v>-14916</v>
      </c>
      <c r="AW18" s="218">
        <f>'8. IMOV'!G37</f>
        <v>3069738</v>
      </c>
      <c r="AY18" s="218">
        <f>'9. ODG.'!G37</f>
        <v>4316624</v>
      </c>
      <c r="BA18" s="218">
        <f>'10.KJ'!G37</f>
        <v>35709</v>
      </c>
      <c r="BC18" s="218">
        <f>'11. OST.'!G37</f>
        <v>139931</v>
      </c>
      <c r="BE18" s="218">
        <f>'12. NZZ'!G37</f>
        <v>9768692</v>
      </c>
      <c r="BG18" s="218">
        <f>'13. ukupno'!G37</f>
        <v>10790373</v>
      </c>
      <c r="BH18" s="124">
        <f t="shared" si="0"/>
        <v>0</v>
      </c>
      <c r="BI18" s="124">
        <f t="shared" si="1"/>
        <v>0</v>
      </c>
      <c r="BJ18" s="124">
        <f t="shared" si="2"/>
        <v>0</v>
      </c>
      <c r="BK18" s="120">
        <f>'1. OŽ'!H37</f>
        <v>0</v>
      </c>
      <c r="BM18" s="120">
        <f>'2. ŽO osim OŽ'!H37</f>
        <v>0</v>
      </c>
      <c r="BO18" s="120">
        <f>'3. ŽO zbirno'!H37</f>
        <v>0</v>
      </c>
      <c r="BQ18" s="120">
        <f>'4. N i DZ'!H37</f>
        <v>966199</v>
      </c>
      <c r="BS18" s="120">
        <f>'5. MV'!H37</f>
        <v>0</v>
      </c>
      <c r="BU18" s="120">
        <f>'6. PO i TR'!H37</f>
        <v>0</v>
      </c>
      <c r="BW18" s="120">
        <f>'7. VAZ'!H37</f>
        <v>23496</v>
      </c>
      <c r="BY18" s="120">
        <f>'8. IMOV'!H37</f>
        <v>2771881</v>
      </c>
      <c r="CA18" s="120">
        <f>'9. ODG.'!H37</f>
        <v>3460756</v>
      </c>
      <c r="CC18" s="120">
        <f>'10.KJ'!H37</f>
        <v>0</v>
      </c>
      <c r="CE18" s="120">
        <f>'11. OST.'!H37</f>
        <v>119761</v>
      </c>
      <c r="CG18" s="120">
        <f>'12. NZZ'!H37</f>
        <v>0</v>
      </c>
      <c r="CI18" s="120">
        <f>'13. ukupno'!H37</f>
        <v>9885122</v>
      </c>
      <c r="CJ18" s="124">
        <f t="shared" si="3"/>
        <v>2543029</v>
      </c>
      <c r="CK18" s="124">
        <f t="shared" si="4"/>
        <v>9885122</v>
      </c>
    </row>
    <row r="19" spans="2:89" ht="38.25">
      <c r="B19" s="121">
        <v>1051</v>
      </c>
      <c r="C19" s="143" t="s">
        <v>367</v>
      </c>
      <c r="D19" s="153"/>
      <c r="E19" s="144">
        <f>VLOOKUP($B19,$AH:$CI,2,FALSE)</f>
        <v>228709</v>
      </c>
      <c r="F19" s="155"/>
      <c r="G19" s="144">
        <f>VLOOKUP($B19,$AH:$CI,4,FALSE)</f>
        <v>18315</v>
      </c>
      <c r="H19" s="155"/>
      <c r="I19" s="144">
        <f>VLOOKUP($B19,$AH:$CI,6,FALSE)</f>
        <v>247024</v>
      </c>
      <c r="J19" s="155"/>
      <c r="K19" s="144">
        <f>VLOOKUP($B19,$AH:$CI,8,FALSE)</f>
        <v>71308</v>
      </c>
      <c r="L19" s="155"/>
      <c r="M19" s="144">
        <f>VLOOKUP($B19,$AH:$CI,10,FALSE)</f>
        <v>78995</v>
      </c>
      <c r="N19" s="155"/>
      <c r="O19" s="144">
        <f>VLOOKUP($B19,$AH:$CI,12,FALSE)</f>
        <v>17724</v>
      </c>
      <c r="P19" s="155"/>
      <c r="Q19" s="144">
        <f>VLOOKUP($B19,$AH:$CI,14,FALSE)</f>
        <v>3772</v>
      </c>
      <c r="R19" s="155"/>
      <c r="S19" s="144">
        <f>VLOOKUP($B19,$AH:$CI,16,FALSE)</f>
        <v>367238</v>
      </c>
      <c r="T19" s="155"/>
      <c r="U19" s="144">
        <f>VLOOKUP($B19,$AH:$CI,18,FALSE)</f>
        <v>532247</v>
      </c>
      <c r="V19" s="155"/>
      <c r="W19" s="144">
        <f>VLOOKUP($B19,$AH:$CI,20,FALSE)</f>
        <v>3929</v>
      </c>
      <c r="X19" s="155"/>
      <c r="Y19" s="144">
        <f>VLOOKUP($B19,$AH:$CI,22,FALSE)</f>
        <v>23806</v>
      </c>
      <c r="Z19" s="155"/>
      <c r="AA19" s="144">
        <f>VLOOKUP($B19,$AH:$CI,24,FALSE)</f>
        <v>1099019</v>
      </c>
      <c r="AB19" s="155"/>
      <c r="AC19" s="144">
        <f>VLOOKUP($B19,$AH:$CI,26,FALSE)</f>
        <v>1346043</v>
      </c>
      <c r="AD19" s="111" t="s">
        <v>366</v>
      </c>
      <c r="AE19" s="124">
        <f>AC19-BG54</f>
        <v>0</v>
      </c>
      <c r="AG19" s="85" t="s">
        <v>295</v>
      </c>
      <c r="AH19" s="255">
        <v>1017</v>
      </c>
      <c r="AI19" s="219">
        <f>'1. OŽ'!G38</f>
        <v>443898</v>
      </c>
      <c r="AK19" s="219">
        <f>'2. ŽO osim OŽ'!G38</f>
        <v>0</v>
      </c>
      <c r="AM19" s="219">
        <f>'3. ŽO zbirno'!G38</f>
        <v>443898</v>
      </c>
      <c r="AO19" s="219">
        <f>'4. N i DZ'!G38</f>
        <v>27175</v>
      </c>
      <c r="AQ19" s="219">
        <f>'5. MV'!G38</f>
        <v>30934</v>
      </c>
      <c r="AS19" s="219">
        <f>'6. PO i TR'!G38</f>
        <v>23641</v>
      </c>
      <c r="AU19" s="219">
        <f>'7. VAZ'!G38</f>
        <v>117</v>
      </c>
      <c r="AW19" s="219">
        <f>'8. IMOV'!G38</f>
        <v>138754</v>
      </c>
      <c r="AY19" s="219">
        <f>'9. ODG.'!G38</f>
        <v>1452614</v>
      </c>
      <c r="BA19" s="219">
        <f>'10.KJ'!G38</f>
        <v>9971</v>
      </c>
      <c r="BC19" s="219">
        <f>'11. OST.'!G38</f>
        <v>1128</v>
      </c>
      <c r="BE19" s="219">
        <f>'12. NZZ'!G38</f>
        <v>1684334</v>
      </c>
      <c r="BG19" s="219">
        <f>'13. ukupno'!G38</f>
        <v>2128232</v>
      </c>
      <c r="BH19" s="124">
        <f t="shared" si="0"/>
        <v>0</v>
      </c>
      <c r="BI19" s="124">
        <f t="shared" si="1"/>
        <v>0</v>
      </c>
      <c r="BJ19" s="124">
        <f t="shared" si="2"/>
        <v>0</v>
      </c>
      <c r="BK19" s="120">
        <f>'1. OŽ'!H38</f>
        <v>0</v>
      </c>
      <c r="BM19" s="120">
        <f>'2. ŽO osim OŽ'!H38</f>
        <v>0</v>
      </c>
      <c r="BO19" s="120">
        <f>'3. ŽO zbirno'!H38</f>
        <v>0</v>
      </c>
      <c r="BQ19" s="120">
        <f>'4. N i DZ'!H38</f>
        <v>27697</v>
      </c>
      <c r="BS19" s="120">
        <f>'5. MV'!H38</f>
        <v>0</v>
      </c>
      <c r="BU19" s="120">
        <f>'6. PO i TR'!H38</f>
        <v>0</v>
      </c>
      <c r="BW19" s="120">
        <f>'7. VAZ'!H38</f>
        <v>97</v>
      </c>
      <c r="BY19" s="120">
        <f>'8. IMOV'!H38</f>
        <v>105948</v>
      </c>
      <c r="CA19" s="120">
        <f>'9. ODG.'!H38</f>
        <v>1401634</v>
      </c>
      <c r="CC19" s="120">
        <f>'10.KJ'!H38</f>
        <v>0</v>
      </c>
      <c r="CE19" s="120">
        <f>'11. OST.'!H38</f>
        <v>15490</v>
      </c>
      <c r="CG19" s="120">
        <f>'12. NZZ'!H38</f>
        <v>0</v>
      </c>
      <c r="CI19" s="120">
        <f>'13. ukupno'!H38</f>
        <v>1980161</v>
      </c>
      <c r="CJ19" s="124">
        <f t="shared" si="3"/>
        <v>429295</v>
      </c>
      <c r="CK19" s="124">
        <f t="shared" si="4"/>
        <v>1980161</v>
      </c>
    </row>
    <row r="20" spans="2:89" ht="25.5">
      <c r="B20" s="121">
        <v>1062</v>
      </c>
      <c r="C20" s="143" t="s">
        <v>365</v>
      </c>
      <c r="D20" s="153"/>
      <c r="E20" s="144">
        <f>-VLOOKUP($B20,$AH:$CI,2,FALSE)</f>
        <v>-147673</v>
      </c>
      <c r="F20" s="155"/>
      <c r="G20" s="144">
        <f>-VLOOKUP($B20,$AH:$CI,4,FALSE)</f>
        <v>-11625</v>
      </c>
      <c r="H20" s="155"/>
      <c r="I20" s="144">
        <f>-VLOOKUP($B20,$AH:$CI,6,FALSE)</f>
        <v>-159298</v>
      </c>
      <c r="J20" s="155"/>
      <c r="K20" s="144">
        <f>-VLOOKUP($B20,$AH:$CI,8,FALSE)</f>
        <v>-30103</v>
      </c>
      <c r="L20" s="155"/>
      <c r="M20" s="144">
        <f>-VLOOKUP($B20,$AH:$CI,10,FALSE)</f>
        <v>-33917</v>
      </c>
      <c r="N20" s="155"/>
      <c r="O20" s="144">
        <f>-VLOOKUP($B20,$AH:$CI,12,FALSE)</f>
        <v>-8383</v>
      </c>
      <c r="P20" s="155"/>
      <c r="Q20" s="144">
        <f>-VLOOKUP($B20,$AH:$CI,14,FALSE)</f>
        <v>-1756</v>
      </c>
      <c r="R20" s="155"/>
      <c r="S20" s="144">
        <f>-VLOOKUP($B20,$AH:$CI,16,FALSE)</f>
        <v>-148751</v>
      </c>
      <c r="T20" s="155"/>
      <c r="U20" s="144">
        <f>-VLOOKUP($B20,$AH:$CI,18,FALSE)</f>
        <v>-237955</v>
      </c>
      <c r="V20" s="155"/>
      <c r="W20" s="144">
        <f>-VLOOKUP($B20,$AH:$CI,20,FALSE)</f>
        <v>-538</v>
      </c>
      <c r="X20" s="155"/>
      <c r="Y20" s="145">
        <f>-VLOOKUP($B20,$AH:$CI,22,FALSE)</f>
        <v>-6851</v>
      </c>
      <c r="Z20" s="155"/>
      <c r="AA20" s="145">
        <f>-VLOOKUP($B20,$AH:$CI,24,FALSE)</f>
        <v>-468254</v>
      </c>
      <c r="AB20" s="155"/>
      <c r="AC20" s="144">
        <f>-VLOOKUP($B20,$AH:$CI,26,FALSE)</f>
        <v>-627552</v>
      </c>
      <c r="AD20" s="111" t="s">
        <v>364</v>
      </c>
      <c r="AE20" s="124">
        <f>AC20+BG65</f>
        <v>0</v>
      </c>
      <c r="AG20" s="39" t="s">
        <v>129</v>
      </c>
      <c r="AH20" s="256">
        <v>1018</v>
      </c>
      <c r="AI20" s="220">
        <f>'1. OŽ'!G39</f>
        <v>443898</v>
      </c>
      <c r="AK20" s="220">
        <f>'2. ŽO osim OŽ'!G39</f>
        <v>0</v>
      </c>
      <c r="AM20" s="220">
        <f>'3. ŽO zbirno'!G39</f>
        <v>443898</v>
      </c>
      <c r="AO20" s="220">
        <f>'4. N i DZ'!G39</f>
        <v>0</v>
      </c>
      <c r="AQ20" s="220">
        <f>'5. MV'!G39</f>
        <v>0</v>
      </c>
      <c r="AS20" s="220">
        <f>'6. PO i TR'!G39</f>
        <v>0</v>
      </c>
      <c r="AU20" s="220">
        <f>'7. VAZ'!G39</f>
        <v>0</v>
      </c>
      <c r="AW20" s="220">
        <f>'8. IMOV'!G39</f>
        <v>0</v>
      </c>
      <c r="AY20" s="220">
        <f>'9. ODG.'!G39</f>
        <v>0</v>
      </c>
      <c r="BA20" s="220">
        <f>'10.KJ'!G39</f>
        <v>0</v>
      </c>
      <c r="BC20" s="220">
        <f>'11. OST.'!G39</f>
        <v>0</v>
      </c>
      <c r="BE20" s="220">
        <f>'12. NZZ'!G39</f>
        <v>0</v>
      </c>
      <c r="BG20" s="220">
        <f>'13. ukupno'!G39</f>
        <v>443898</v>
      </c>
      <c r="BH20" s="124">
        <f t="shared" si="0"/>
        <v>0</v>
      </c>
      <c r="BI20" s="124">
        <f t="shared" si="1"/>
        <v>0</v>
      </c>
      <c r="BJ20" s="124">
        <f t="shared" si="2"/>
        <v>0</v>
      </c>
      <c r="BK20" s="120">
        <f>'1. OŽ'!H39</f>
        <v>0</v>
      </c>
      <c r="BM20" s="120">
        <f>'2. ŽO osim OŽ'!H39</f>
        <v>0</v>
      </c>
      <c r="BO20" s="120">
        <f>'3. ŽO zbirno'!H39</f>
        <v>0</v>
      </c>
      <c r="BQ20" s="120">
        <f>'4. N i DZ'!H39</f>
        <v>0</v>
      </c>
      <c r="BS20" s="120">
        <f>'5. MV'!H39</f>
        <v>0</v>
      </c>
      <c r="BU20" s="120">
        <f>'6. PO i TR'!H39</f>
        <v>0</v>
      </c>
      <c r="BW20" s="120">
        <f>'7. VAZ'!H39</f>
        <v>0</v>
      </c>
      <c r="BY20" s="120">
        <f>'8. IMOV'!H39</f>
        <v>0</v>
      </c>
      <c r="CA20" s="120">
        <f>'9. ODG.'!H39</f>
        <v>0</v>
      </c>
      <c r="CC20" s="120">
        <f>'10.KJ'!H39</f>
        <v>0</v>
      </c>
      <c r="CE20" s="120">
        <f>'11. OST.'!H39</f>
        <v>0</v>
      </c>
      <c r="CG20" s="120">
        <f>'12. NZZ'!H39</f>
        <v>0</v>
      </c>
      <c r="CI20" s="120">
        <f>'13. ukupno'!H39</f>
        <v>362353</v>
      </c>
      <c r="CJ20" s="124">
        <f t="shared" si="3"/>
        <v>362353</v>
      </c>
      <c r="CK20" s="124">
        <f t="shared" si="4"/>
        <v>362353</v>
      </c>
    </row>
    <row r="21" spans="2:89" ht="25.5">
      <c r="B21" s="121" t="s">
        <v>410</v>
      </c>
      <c r="C21" s="139" t="s">
        <v>363</v>
      </c>
      <c r="D21" s="165"/>
      <c r="E21" s="169">
        <f>E19+E20</f>
        <v>81036</v>
      </c>
      <c r="F21" s="165"/>
      <c r="G21" s="167">
        <f>G19+G20</f>
        <v>6690</v>
      </c>
      <c r="H21" s="165"/>
      <c r="I21" s="169">
        <f>I19+I20</f>
        <v>87726</v>
      </c>
      <c r="J21" s="165"/>
      <c r="K21" s="167">
        <f>K19+K20</f>
        <v>41205</v>
      </c>
      <c r="L21" s="165"/>
      <c r="M21" s="169">
        <f>M19+M20</f>
        <v>45078</v>
      </c>
      <c r="N21" s="165"/>
      <c r="O21" s="169">
        <f>O19+O20</f>
        <v>9341</v>
      </c>
      <c r="P21" s="165"/>
      <c r="Q21" s="167">
        <f>Q19+Q20</f>
        <v>2016</v>
      </c>
      <c r="R21" s="165"/>
      <c r="S21" s="169">
        <f>S19+S20</f>
        <v>218487</v>
      </c>
      <c r="T21" s="165"/>
      <c r="U21" s="169">
        <f>U19+U20</f>
        <v>294292</v>
      </c>
      <c r="V21" s="168"/>
      <c r="W21" s="169">
        <f>W19+W20</f>
        <v>3391</v>
      </c>
      <c r="X21" s="168"/>
      <c r="Y21" s="168">
        <f>Y19+Y20</f>
        <v>16955</v>
      </c>
      <c r="Z21" s="168"/>
      <c r="AA21" s="168">
        <f>AA19+AA20</f>
        <v>630765</v>
      </c>
      <c r="AB21" s="168"/>
      <c r="AC21" s="169">
        <f>AC19+AC20</f>
        <v>718491</v>
      </c>
      <c r="AD21" s="111" t="s">
        <v>362</v>
      </c>
      <c r="AE21" s="124">
        <f>AC21-BG74+BG75</f>
        <v>0</v>
      </c>
      <c r="AG21" s="39" t="s">
        <v>131</v>
      </c>
      <c r="AH21" s="256">
        <v>1019</v>
      </c>
      <c r="AI21" s="220">
        <f>'1. OŽ'!G40</f>
        <v>0</v>
      </c>
      <c r="AK21" s="220">
        <f>'2. ŽO osim OŽ'!G40</f>
        <v>0</v>
      </c>
      <c r="AM21" s="220">
        <f>'3. ŽO zbirno'!G40</f>
        <v>0</v>
      </c>
      <c r="AO21" s="220">
        <f>'4. N i DZ'!G40</f>
        <v>0</v>
      </c>
      <c r="AQ21" s="220">
        <f>'5. MV'!G40</f>
        <v>0</v>
      </c>
      <c r="AS21" s="220">
        <f>'6. PO i TR'!G40</f>
        <v>0</v>
      </c>
      <c r="AU21" s="220">
        <f>'7. VAZ'!G40</f>
        <v>0</v>
      </c>
      <c r="AW21" s="220">
        <f>'8. IMOV'!G40</f>
        <v>0</v>
      </c>
      <c r="AY21" s="220">
        <f>'9. ODG.'!G40</f>
        <v>0</v>
      </c>
      <c r="BA21" s="220">
        <f>'10.KJ'!G40</f>
        <v>0</v>
      </c>
      <c r="BC21" s="220">
        <f>'11. OST.'!G40</f>
        <v>0</v>
      </c>
      <c r="BE21" s="220">
        <f>'12. NZZ'!G40</f>
        <v>0</v>
      </c>
      <c r="BG21" s="220">
        <f>'13. ukupno'!G40</f>
        <v>0</v>
      </c>
      <c r="BH21" s="124">
        <f t="shared" si="0"/>
        <v>0</v>
      </c>
      <c r="BI21" s="124">
        <f t="shared" si="1"/>
        <v>0</v>
      </c>
      <c r="BJ21" s="124">
        <f t="shared" si="2"/>
        <v>0</v>
      </c>
      <c r="BK21" s="120">
        <f>'1. OŽ'!H40</f>
        <v>0</v>
      </c>
      <c r="BM21" s="120">
        <f>'2. ŽO osim OŽ'!H40</f>
        <v>0</v>
      </c>
      <c r="BO21" s="120">
        <f>'3. ŽO zbirno'!H40</f>
        <v>0</v>
      </c>
      <c r="BQ21" s="120">
        <f>'4. N i DZ'!H40</f>
        <v>0</v>
      </c>
      <c r="BS21" s="120">
        <f>'5. MV'!H40</f>
        <v>0</v>
      </c>
      <c r="BU21" s="120">
        <f>'6. PO i TR'!H40</f>
        <v>0</v>
      </c>
      <c r="BW21" s="120">
        <f>'7. VAZ'!H40</f>
        <v>0</v>
      </c>
      <c r="BY21" s="120">
        <f>'8. IMOV'!H40</f>
        <v>0</v>
      </c>
      <c r="CA21" s="120">
        <f>'9. ODG.'!H40</f>
        <v>0</v>
      </c>
      <c r="CC21" s="120">
        <f>'10.KJ'!H40</f>
        <v>0</v>
      </c>
      <c r="CE21" s="120">
        <f>'11. OST.'!H40</f>
        <v>0</v>
      </c>
      <c r="CG21" s="120">
        <f>'12. NZZ'!H40</f>
        <v>0</v>
      </c>
      <c r="CI21" s="120">
        <f>'13. ukupno'!H40</f>
        <v>0</v>
      </c>
      <c r="CJ21" s="124">
        <f t="shared" si="3"/>
        <v>0</v>
      </c>
      <c r="CK21" s="124">
        <f t="shared" si="4"/>
        <v>0</v>
      </c>
    </row>
    <row r="22" spans="2:89" ht="22.5">
      <c r="C22" s="139" t="s">
        <v>361</v>
      </c>
      <c r="D22" s="153"/>
      <c r="E22" s="154"/>
      <c r="F22" s="153"/>
      <c r="G22" s="154"/>
      <c r="H22" s="153"/>
      <c r="I22" s="144"/>
      <c r="J22" s="153"/>
      <c r="K22" s="154"/>
      <c r="L22" s="153"/>
      <c r="M22" s="154"/>
      <c r="N22" s="153"/>
      <c r="O22" s="144"/>
      <c r="P22" s="153"/>
      <c r="Q22" s="154"/>
      <c r="R22" s="153"/>
      <c r="S22" s="144"/>
      <c r="T22" s="153"/>
      <c r="U22" s="144"/>
      <c r="V22" s="155"/>
      <c r="W22" s="144"/>
      <c r="X22" s="155"/>
      <c r="Y22" s="154"/>
      <c r="Z22" s="155"/>
      <c r="AA22" s="154"/>
      <c r="AB22" s="155"/>
      <c r="AC22" s="144"/>
      <c r="AE22" s="124"/>
      <c r="AG22" s="39" t="s">
        <v>25</v>
      </c>
      <c r="AH22" s="256">
        <v>1020</v>
      </c>
      <c r="AI22" s="220">
        <f>'1. OŽ'!G41</f>
        <v>0</v>
      </c>
      <c r="AK22" s="220">
        <f>'2. ŽO osim OŽ'!G41</f>
        <v>0</v>
      </c>
      <c r="AM22" s="220">
        <f>'3. ŽO zbirno'!G41</f>
        <v>0</v>
      </c>
      <c r="AO22" s="220">
        <f>'4. N i DZ'!G41</f>
        <v>26732</v>
      </c>
      <c r="AQ22" s="220">
        <f>'5. MV'!G41</f>
        <v>28197</v>
      </c>
      <c r="AS22" s="220">
        <f>'6. PO i TR'!G41</f>
        <v>6582</v>
      </c>
      <c r="AU22" s="220">
        <f>'7. VAZ'!G41</f>
        <v>116</v>
      </c>
      <c r="AW22" s="220">
        <f>'8. IMOV'!G41</f>
        <v>127962</v>
      </c>
      <c r="AY22" s="220">
        <f>'9. ODG.'!G41</f>
        <v>183641</v>
      </c>
      <c r="BA22" s="220">
        <f>'10.KJ'!G41</f>
        <v>816</v>
      </c>
      <c r="BC22" s="220">
        <f>'11. OST.'!G41</f>
        <v>1115</v>
      </c>
      <c r="BE22" s="220">
        <f>'12. NZZ'!G41</f>
        <v>375161</v>
      </c>
      <c r="BG22" s="220">
        <f>'13. ukupno'!G41</f>
        <v>375161</v>
      </c>
      <c r="BH22" s="124">
        <f t="shared" si="0"/>
        <v>0</v>
      </c>
      <c r="BI22" s="124">
        <f t="shared" si="1"/>
        <v>0</v>
      </c>
      <c r="BJ22" s="124">
        <f t="shared" si="2"/>
        <v>0</v>
      </c>
      <c r="BK22" s="120">
        <f>'1. OŽ'!H41</f>
        <v>0</v>
      </c>
      <c r="BM22" s="120">
        <f>'2. ŽO osim OŽ'!H41</f>
        <v>0</v>
      </c>
      <c r="BO22" s="120">
        <f>'3. ŽO zbirno'!H41</f>
        <v>0</v>
      </c>
      <c r="BQ22" s="120">
        <f>'4. N i DZ'!H41</f>
        <v>27345</v>
      </c>
      <c r="BS22" s="120">
        <f>'5. MV'!H41</f>
        <v>0</v>
      </c>
      <c r="BU22" s="120">
        <f>'6. PO i TR'!H41</f>
        <v>0</v>
      </c>
      <c r="BW22" s="120">
        <f>'7. VAZ'!H41</f>
        <v>97</v>
      </c>
      <c r="BY22" s="120">
        <f>'8. IMOV'!H41</f>
        <v>105948</v>
      </c>
      <c r="CA22" s="120">
        <f>'9. ODG.'!H41</f>
        <v>126690</v>
      </c>
      <c r="CC22" s="120">
        <f>'10.KJ'!H41</f>
        <v>0</v>
      </c>
      <c r="CE22" s="120">
        <f>'11. OST.'!H41</f>
        <v>529</v>
      </c>
      <c r="CG22" s="120">
        <f>'12. NZZ'!H41</f>
        <v>0</v>
      </c>
      <c r="CI22" s="120">
        <f>'13. ukupno'!H41</f>
        <v>298337</v>
      </c>
      <c r="CJ22" s="124">
        <f t="shared" si="3"/>
        <v>37728</v>
      </c>
      <c r="CK22" s="124">
        <f t="shared" si="4"/>
        <v>298337</v>
      </c>
    </row>
    <row r="23" spans="2:89" ht="12.75">
      <c r="B23" s="121">
        <v>1074</v>
      </c>
      <c r="C23" s="156" t="s">
        <v>360</v>
      </c>
      <c r="D23" s="153"/>
      <c r="E23" s="144">
        <f>-VLOOKUP($B23,$AH:$CI,2,FALSE)</f>
        <v>-353338</v>
      </c>
      <c r="F23" s="155"/>
      <c r="G23" s="144">
        <f>-VLOOKUP($B23,$AH:$CI,4,FALSE)</f>
        <v>-28246</v>
      </c>
      <c r="H23" s="155"/>
      <c r="I23" s="144">
        <f>-VLOOKUP($B23,$AH:$CI,6,FALSE)</f>
        <v>-381584</v>
      </c>
      <c r="J23" s="155"/>
      <c r="K23" s="144">
        <f>-VLOOKUP($B23,$AH:$CI,8,FALSE)</f>
        <v>-351985</v>
      </c>
      <c r="L23" s="155"/>
      <c r="M23" s="144">
        <f>-VLOOKUP($B23,$AH:$CI,10,FALSE)</f>
        <v>-345202</v>
      </c>
      <c r="N23" s="155"/>
      <c r="O23" s="144">
        <f>-VLOOKUP($B23,$AH:$CI,12,FALSE)</f>
        <v>-57624</v>
      </c>
      <c r="P23" s="155"/>
      <c r="Q23" s="144">
        <f>-VLOOKUP($B23,$AH:$CI,14,FALSE)</f>
        <v>-9248</v>
      </c>
      <c r="R23" s="155"/>
      <c r="S23" s="144">
        <f>-VLOOKUP($B23,$AH:$CI,16,FALSE)</f>
        <v>-1268208</v>
      </c>
      <c r="T23" s="155"/>
      <c r="U23" s="144">
        <f>-VLOOKUP($B23,$AH:$CI,18,FALSE)</f>
        <v>-2782216</v>
      </c>
      <c r="V23" s="155"/>
      <c r="W23" s="144">
        <f>-VLOOKUP($B23,$AH:$CI,20,FALSE)</f>
        <v>-11441</v>
      </c>
      <c r="X23" s="155"/>
      <c r="Y23" s="144">
        <f>-VLOOKUP($B23,$AH:$CI,22,FALSE)</f>
        <v>-157942</v>
      </c>
      <c r="Z23" s="155"/>
      <c r="AA23" s="144">
        <f>-VLOOKUP($B23,$AH:$CI,24,FALSE)</f>
        <v>-4983866</v>
      </c>
      <c r="AB23" s="155"/>
      <c r="AC23" s="144">
        <f>-VLOOKUP($B23,$AH:$CI,26,FALSE)</f>
        <v>-5365450</v>
      </c>
      <c r="AD23" s="110" t="s">
        <v>359</v>
      </c>
      <c r="AE23" s="124">
        <f>AC23+BG77</f>
        <v>0</v>
      </c>
      <c r="AG23" s="39" t="s">
        <v>135</v>
      </c>
      <c r="AH23" s="256">
        <v>1021</v>
      </c>
      <c r="AI23" s="220">
        <f>'1. OŽ'!G42</f>
        <v>0</v>
      </c>
      <c r="AK23" s="220">
        <f>'2. ŽO osim OŽ'!G42</f>
        <v>0</v>
      </c>
      <c r="AM23" s="220">
        <f>'3. ŽO zbirno'!G42</f>
        <v>0</v>
      </c>
      <c r="AO23" s="220">
        <f>'4. N i DZ'!G42</f>
        <v>43</v>
      </c>
      <c r="AQ23" s="220">
        <f>'5. MV'!G42</f>
        <v>47</v>
      </c>
      <c r="AS23" s="220">
        <f>'6. PO i TR'!G42</f>
        <v>7</v>
      </c>
      <c r="AU23" s="220">
        <f>'7. VAZ'!G42</f>
        <v>1</v>
      </c>
      <c r="AW23" s="220">
        <f>'8. IMOV'!G42</f>
        <v>158</v>
      </c>
      <c r="AY23" s="220">
        <f>'9. ODG.'!G42</f>
        <v>367</v>
      </c>
      <c r="BA23" s="220">
        <f>'10.KJ'!G42</f>
        <v>2</v>
      </c>
      <c r="BC23" s="220">
        <f>'11. OST.'!G42</f>
        <v>12</v>
      </c>
      <c r="BE23" s="220">
        <f>'12. NZZ'!G42</f>
        <v>637</v>
      </c>
      <c r="BG23" s="220">
        <f>'13. ukupno'!G42</f>
        <v>637</v>
      </c>
      <c r="BH23" s="124">
        <f t="shared" si="0"/>
        <v>0</v>
      </c>
      <c r="BI23" s="124">
        <f t="shared" si="1"/>
        <v>0</v>
      </c>
      <c r="BJ23" s="124">
        <f t="shared" si="2"/>
        <v>0</v>
      </c>
      <c r="BK23" s="120">
        <f>'1. OŽ'!H42</f>
        <v>0</v>
      </c>
      <c r="BM23" s="120">
        <f>'2. ŽO osim OŽ'!H42</f>
        <v>0</v>
      </c>
      <c r="BO23" s="120">
        <f>'3. ŽO zbirno'!H42</f>
        <v>0</v>
      </c>
      <c r="BQ23" s="120">
        <f>'4. N i DZ'!H42</f>
        <v>0</v>
      </c>
      <c r="BS23" s="120">
        <f>'5. MV'!H42</f>
        <v>0</v>
      </c>
      <c r="BU23" s="120">
        <f>'6. PO i TR'!H42</f>
        <v>0</v>
      </c>
      <c r="BW23" s="120">
        <f>'7. VAZ'!H42</f>
        <v>0</v>
      </c>
      <c r="BY23" s="120">
        <f>'8. IMOV'!H42</f>
        <v>0</v>
      </c>
      <c r="CA23" s="120">
        <f>'9. ODG.'!H42</f>
        <v>0</v>
      </c>
      <c r="CC23" s="120">
        <f>'10.KJ'!H42</f>
        <v>0</v>
      </c>
      <c r="CE23" s="120">
        <f>'11. OST.'!H42</f>
        <v>0</v>
      </c>
      <c r="CG23" s="120">
        <f>'12. NZZ'!H42</f>
        <v>0</v>
      </c>
      <c r="CI23" s="120">
        <f>'13. ukupno'!H42</f>
        <v>0</v>
      </c>
      <c r="CJ23" s="124">
        <f t="shared" si="3"/>
        <v>0</v>
      </c>
      <c r="CK23" s="124">
        <f t="shared" si="4"/>
        <v>0</v>
      </c>
    </row>
    <row r="24" spans="2:89" ht="12.75">
      <c r="B24" s="121">
        <v>1079</v>
      </c>
      <c r="C24" s="156" t="s">
        <v>358</v>
      </c>
      <c r="D24" s="153"/>
      <c r="E24" s="144">
        <f>-VLOOKUP($B24,$AH:$CI,2,FALSE)</f>
        <v>-45049</v>
      </c>
      <c r="F24" s="155"/>
      <c r="G24" s="144">
        <f>-VLOOKUP($B24,$AH:$CI,4,FALSE)</f>
        <v>-3564</v>
      </c>
      <c r="H24" s="155"/>
      <c r="I24" s="144">
        <f>-VLOOKUP($B24,$AH:$CI,6,FALSE)</f>
        <v>-48613</v>
      </c>
      <c r="J24" s="155"/>
      <c r="K24" s="144">
        <f>-VLOOKUP($B24,$AH:$CI,8,FALSE)</f>
        <v>-124315</v>
      </c>
      <c r="L24" s="155"/>
      <c r="M24" s="144">
        <f>-VLOOKUP($B24,$AH:$CI,10,FALSE)</f>
        <v>-135725</v>
      </c>
      <c r="N24" s="155"/>
      <c r="O24" s="144">
        <f>-VLOOKUP($B24,$AH:$CI,12,FALSE)</f>
        <v>-30683</v>
      </c>
      <c r="P24" s="155"/>
      <c r="Q24" s="144">
        <f>-VLOOKUP($B24,$AH:$CI,14,FALSE)</f>
        <v>-6093</v>
      </c>
      <c r="R24" s="155"/>
      <c r="S24" s="144">
        <f>-VLOOKUP($B24,$AH:$CI,16,FALSE)</f>
        <v>-603440</v>
      </c>
      <c r="T24" s="155"/>
      <c r="U24" s="144">
        <f>-VLOOKUP($B24,$AH:$CI,18,FALSE)</f>
        <v>-909106</v>
      </c>
      <c r="V24" s="155"/>
      <c r="W24" s="144">
        <f>-VLOOKUP($B24,$AH:$CI,20,FALSE)</f>
        <v>-6052</v>
      </c>
      <c r="X24" s="155"/>
      <c r="Y24" s="144">
        <f>-VLOOKUP($B24,$AH:$CI,22,FALSE)</f>
        <v>-34609</v>
      </c>
      <c r="Z24" s="155"/>
      <c r="AA24" s="144">
        <f>-VLOOKUP($B24,$AH:$CI,24,FALSE)</f>
        <v>-1850023</v>
      </c>
      <c r="AB24" s="155"/>
      <c r="AC24" s="144">
        <f>-VLOOKUP($B24,$AH:$CI,26,FALSE)</f>
        <v>-1898636</v>
      </c>
      <c r="AD24" s="110" t="s">
        <v>357</v>
      </c>
      <c r="AE24" s="124">
        <f>AC24+BG82</f>
        <v>0</v>
      </c>
      <c r="AG24" s="39" t="s">
        <v>28</v>
      </c>
      <c r="AH24" s="256">
        <v>1022</v>
      </c>
      <c r="AI24" s="220">
        <f>'1. OŽ'!G43</f>
        <v>0</v>
      </c>
      <c r="AK24" s="220">
        <f>'2. ŽO osim OŽ'!G43</f>
        <v>0</v>
      </c>
      <c r="AM24" s="220">
        <f>'3. ŽO zbirno'!G43</f>
        <v>0</v>
      </c>
      <c r="AO24" s="220">
        <f>'4. N i DZ'!G43</f>
        <v>400</v>
      </c>
      <c r="AQ24" s="220">
        <f>'5. MV'!G43</f>
        <v>0</v>
      </c>
      <c r="AS24" s="220">
        <f>'6. PO i TR'!G43</f>
        <v>0</v>
      </c>
      <c r="AU24" s="220">
        <f>'7. VAZ'!G43</f>
        <v>0</v>
      </c>
      <c r="AW24" s="220">
        <f>'8. IMOV'!G43</f>
        <v>0</v>
      </c>
      <c r="AY24" s="220">
        <f>'9. ODG.'!G43</f>
        <v>781766</v>
      </c>
      <c r="BA24" s="220">
        <f>'10.KJ'!G43</f>
        <v>0</v>
      </c>
      <c r="BC24" s="220">
        <f>'11. OST.'!G43</f>
        <v>0</v>
      </c>
      <c r="BE24" s="220">
        <f>'12. NZZ'!G43</f>
        <v>782166</v>
      </c>
      <c r="BG24" s="220">
        <f>'13. ukupno'!G43</f>
        <v>782166</v>
      </c>
      <c r="BH24" s="124">
        <f t="shared" si="0"/>
        <v>0</v>
      </c>
      <c r="BI24" s="124">
        <f t="shared" si="1"/>
        <v>0</v>
      </c>
      <c r="BJ24" s="124">
        <f t="shared" si="2"/>
        <v>0</v>
      </c>
      <c r="BK24" s="120">
        <f>'1. OŽ'!H43</f>
        <v>0</v>
      </c>
      <c r="BM24" s="120">
        <f>'2. ŽO osim OŽ'!H43</f>
        <v>0</v>
      </c>
      <c r="BO24" s="120">
        <f>'3. ŽO zbirno'!H43</f>
        <v>0</v>
      </c>
      <c r="BQ24" s="120">
        <f>'4. N i DZ'!H43</f>
        <v>352</v>
      </c>
      <c r="BS24" s="120">
        <f>'5. MV'!H43</f>
        <v>0</v>
      </c>
      <c r="BU24" s="120">
        <f>'6. PO i TR'!H43</f>
        <v>0</v>
      </c>
      <c r="BW24" s="120">
        <f>'7. VAZ'!H43</f>
        <v>0</v>
      </c>
      <c r="BY24" s="120">
        <f>'8. IMOV'!H43</f>
        <v>0</v>
      </c>
      <c r="CA24" s="120">
        <f>'9. ODG.'!H43</f>
        <v>435335</v>
      </c>
      <c r="CC24" s="120">
        <f>'10.KJ'!H43</f>
        <v>0</v>
      </c>
      <c r="CE24" s="120">
        <f>'11. OST.'!H43</f>
        <v>0</v>
      </c>
      <c r="CG24" s="120">
        <f>'12. NZZ'!H43</f>
        <v>0</v>
      </c>
      <c r="CI24" s="120">
        <f>'13. ukupno'!H43</f>
        <v>435687</v>
      </c>
      <c r="CJ24" s="124">
        <f t="shared" si="3"/>
        <v>0</v>
      </c>
      <c r="CK24" s="124">
        <f t="shared" si="4"/>
        <v>435687</v>
      </c>
    </row>
    <row r="25" spans="2:89" ht="22.5">
      <c r="B25" s="121">
        <v>1084</v>
      </c>
      <c r="C25" s="156" t="s">
        <v>356</v>
      </c>
      <c r="D25" s="153"/>
      <c r="E25" s="144">
        <f>-VLOOKUP($B25,$AH:$CI,2,FALSE)</f>
        <v>-3671</v>
      </c>
      <c r="F25" s="155"/>
      <c r="G25" s="144">
        <f>-VLOOKUP($B25,$AH:$CI,4,FALSE)</f>
        <v>-295</v>
      </c>
      <c r="H25" s="155"/>
      <c r="I25" s="144">
        <f>-VLOOKUP($B25,$AH:$CI,6,FALSE)</f>
        <v>-3966</v>
      </c>
      <c r="J25" s="155"/>
      <c r="K25" s="144">
        <f>-VLOOKUP($B25,$AH:$CI,8,FALSE)</f>
        <v>-8732</v>
      </c>
      <c r="L25" s="155"/>
      <c r="M25" s="144">
        <f>-VLOOKUP($B25,$AH:$CI,10,FALSE)</f>
        <v>-9518</v>
      </c>
      <c r="N25" s="155"/>
      <c r="O25" s="144">
        <f>-VLOOKUP($B25,$AH:$CI,12,FALSE)</f>
        <v>-1976</v>
      </c>
      <c r="P25" s="155"/>
      <c r="Q25" s="144">
        <f>-VLOOKUP($B25,$AH:$CI,14,FALSE)</f>
        <v>-413</v>
      </c>
      <c r="R25" s="155"/>
      <c r="S25" s="144">
        <f>-VLOOKUP($B25,$AH:$CI,16,FALSE)</f>
        <v>-40396</v>
      </c>
      <c r="T25" s="155"/>
      <c r="U25" s="144">
        <f>-VLOOKUP($B25,$AH:$CI,18,FALSE)</f>
        <v>-64961</v>
      </c>
      <c r="V25" s="155"/>
      <c r="W25" s="144">
        <f>-VLOOKUP($B25,$AH:$CI,20,FALSE)</f>
        <v>-443</v>
      </c>
      <c r="X25" s="155"/>
      <c r="Y25" s="144">
        <f>-VLOOKUP($B25,$AH:$CI,22,FALSE)</f>
        <v>-2493</v>
      </c>
      <c r="Z25" s="155"/>
      <c r="AA25" s="144">
        <f>-VLOOKUP($B25,$AH:$CI,24,FALSE)</f>
        <v>-128932</v>
      </c>
      <c r="AB25" s="155"/>
      <c r="AC25" s="144">
        <f>-VLOOKUP($B25,$AH:$CI,26,FALSE)</f>
        <v>-132898</v>
      </c>
      <c r="AD25" s="110" t="s">
        <v>355</v>
      </c>
      <c r="AE25" s="124">
        <f>AC25+BG87</f>
        <v>0</v>
      </c>
      <c r="AG25" s="39" t="s">
        <v>30</v>
      </c>
      <c r="AH25" s="256">
        <v>1023</v>
      </c>
      <c r="AI25" s="220">
        <f>'1. OŽ'!G44</f>
        <v>0</v>
      </c>
      <c r="AK25" s="220">
        <f>'2. ŽO osim OŽ'!G44</f>
        <v>0</v>
      </c>
      <c r="AM25" s="220">
        <f>'3. ŽO zbirno'!G44</f>
        <v>0</v>
      </c>
      <c r="AO25" s="220">
        <f>'4. N i DZ'!G44</f>
        <v>0</v>
      </c>
      <c r="AQ25" s="220">
        <f>'5. MV'!G44</f>
        <v>0</v>
      </c>
      <c r="AS25" s="220">
        <f>'6. PO i TR'!G44</f>
        <v>0</v>
      </c>
      <c r="AU25" s="220">
        <f>'7. VAZ'!G44</f>
        <v>0</v>
      </c>
      <c r="AW25" s="220">
        <f>'8. IMOV'!G44</f>
        <v>0</v>
      </c>
      <c r="AY25" s="220">
        <f>'9. ODG.'!G44</f>
        <v>0</v>
      </c>
      <c r="BA25" s="220">
        <f>'10.KJ'!G44</f>
        <v>0</v>
      </c>
      <c r="BC25" s="220">
        <f>'11. OST.'!G44</f>
        <v>0</v>
      </c>
      <c r="BE25" s="220">
        <f>'12. NZZ'!G44</f>
        <v>0</v>
      </c>
      <c r="BG25" s="220">
        <f>'13. ukupno'!G44</f>
        <v>0</v>
      </c>
      <c r="BH25" s="124">
        <f t="shared" si="0"/>
        <v>0</v>
      </c>
      <c r="BI25" s="124">
        <f t="shared" si="1"/>
        <v>0</v>
      </c>
      <c r="BJ25" s="124">
        <f t="shared" si="2"/>
        <v>0</v>
      </c>
      <c r="BK25" s="120">
        <f>'1. OŽ'!H44</f>
        <v>0</v>
      </c>
      <c r="BM25" s="120">
        <f>'2. ŽO osim OŽ'!H44</f>
        <v>0</v>
      </c>
      <c r="BO25" s="120">
        <f>'3. ŽO zbirno'!H44</f>
        <v>0</v>
      </c>
      <c r="BQ25" s="120">
        <f>'4. N i DZ'!H44</f>
        <v>0</v>
      </c>
      <c r="BS25" s="120">
        <f>'5. MV'!H44</f>
        <v>0</v>
      </c>
      <c r="BU25" s="120">
        <f>'6. PO i TR'!H44</f>
        <v>0</v>
      </c>
      <c r="BW25" s="120">
        <f>'7. VAZ'!H44</f>
        <v>0</v>
      </c>
      <c r="BY25" s="120">
        <f>'8. IMOV'!H44</f>
        <v>0</v>
      </c>
      <c r="CA25" s="120">
        <f>'9. ODG.'!H44</f>
        <v>483176</v>
      </c>
      <c r="CC25" s="120">
        <f>'10.KJ'!H44</f>
        <v>0</v>
      </c>
      <c r="CE25" s="120">
        <f>'11. OST.'!H44</f>
        <v>14961</v>
      </c>
      <c r="CG25" s="120">
        <f>'12. NZZ'!H44</f>
        <v>0</v>
      </c>
      <c r="CI25" s="120">
        <f>'13. ukupno'!H44</f>
        <v>527351</v>
      </c>
      <c r="CJ25" s="124">
        <f t="shared" si="3"/>
        <v>29214</v>
      </c>
      <c r="CK25" s="124">
        <f t="shared" si="4"/>
        <v>527351</v>
      </c>
    </row>
    <row r="26" spans="2:89" ht="51">
      <c r="B26" s="121">
        <v>1085</v>
      </c>
      <c r="C26" s="156" t="s">
        <v>354</v>
      </c>
      <c r="D26" s="153"/>
      <c r="E26" s="145">
        <f>VLOOKUP($B26,$AH:$CI,2,FALSE)</f>
        <v>303</v>
      </c>
      <c r="F26" s="155"/>
      <c r="G26" s="144">
        <f>VLOOKUP($B26,$AH:$CI,4,FALSE)</f>
        <v>0</v>
      </c>
      <c r="H26" s="155"/>
      <c r="I26" s="144">
        <f>VLOOKUP($B26,$AH:$CI,6,FALSE)</f>
        <v>303</v>
      </c>
      <c r="J26" s="155"/>
      <c r="K26" s="144">
        <f>VLOOKUP($B26,$AH:$CI,8,FALSE)</f>
        <v>34</v>
      </c>
      <c r="L26" s="155"/>
      <c r="M26" s="144">
        <f>VLOOKUP($B26,$AH:$CI,10,FALSE)</f>
        <v>0</v>
      </c>
      <c r="N26" s="155"/>
      <c r="O26" s="145">
        <f>VLOOKUP($B26,$AH:$CI,12,FALSE)</f>
        <v>1098</v>
      </c>
      <c r="P26" s="155"/>
      <c r="Q26" s="144">
        <f>VLOOKUP($B26,$AH:$CI,14,FALSE)</f>
        <v>1833</v>
      </c>
      <c r="R26" s="155"/>
      <c r="S26" s="145">
        <f>VLOOKUP($B26,$AH:$CI,16,FALSE)</f>
        <v>111810</v>
      </c>
      <c r="T26" s="155"/>
      <c r="U26" s="145">
        <f>VLOOKUP($B26,$AH:$CI,18,FALSE)</f>
        <v>11045</v>
      </c>
      <c r="V26" s="155"/>
      <c r="W26" s="145">
        <f>VLOOKUP($B26,$AH:$CI,20,FALSE)</f>
        <v>3770</v>
      </c>
      <c r="X26" s="155"/>
      <c r="Y26" s="144">
        <f>VLOOKUP($B26,$AH:$CI,22,FALSE)</f>
        <v>90</v>
      </c>
      <c r="Z26" s="155"/>
      <c r="AA26" s="144">
        <f>VLOOKUP($B26,$AH:$CI,24,FALSE)</f>
        <v>129680</v>
      </c>
      <c r="AB26" s="155"/>
      <c r="AC26" s="144">
        <f>VLOOKUP($B26,$AH:$CI,26,FALSE)</f>
        <v>129983</v>
      </c>
      <c r="AD26" s="110" t="s">
        <v>353</v>
      </c>
      <c r="AE26" s="124">
        <f>AC26-BG88</f>
        <v>0</v>
      </c>
      <c r="AG26" s="39" t="s">
        <v>140</v>
      </c>
      <c r="AH26" s="256">
        <v>1024</v>
      </c>
      <c r="AI26" s="220">
        <f>'1. OŽ'!G45</f>
        <v>0</v>
      </c>
      <c r="AK26" s="220">
        <f>'2. ŽO osim OŽ'!G45</f>
        <v>0</v>
      </c>
      <c r="AM26" s="220">
        <f>'3. ŽO zbirno'!G45</f>
        <v>0</v>
      </c>
      <c r="AO26" s="220">
        <f>'4. N i DZ'!G45</f>
        <v>0</v>
      </c>
      <c r="AQ26" s="220">
        <f>'5. MV'!G45</f>
        <v>2690</v>
      </c>
      <c r="AS26" s="220">
        <f>'6. PO i TR'!G45</f>
        <v>17052</v>
      </c>
      <c r="AU26" s="220">
        <f>'7. VAZ'!G45</f>
        <v>0</v>
      </c>
      <c r="AW26" s="220">
        <f>'8. IMOV'!G45</f>
        <v>10634</v>
      </c>
      <c r="AY26" s="220">
        <f>'9. ODG.'!G45</f>
        <v>0</v>
      </c>
      <c r="BA26" s="220">
        <f>'10.KJ'!G45</f>
        <v>9153</v>
      </c>
      <c r="BC26" s="220">
        <f>'11. OST.'!G45</f>
        <v>1</v>
      </c>
      <c r="BE26" s="220">
        <f>'12. NZZ'!G45</f>
        <v>39530</v>
      </c>
      <c r="BG26" s="220">
        <f>'13. ukupno'!G45</f>
        <v>39530</v>
      </c>
      <c r="BH26" s="124">
        <f t="shared" si="0"/>
        <v>0</v>
      </c>
      <c r="BI26" s="124">
        <f t="shared" si="1"/>
        <v>0</v>
      </c>
      <c r="BJ26" s="124">
        <f t="shared" si="2"/>
        <v>0</v>
      </c>
      <c r="BK26" s="120">
        <f>'1. OŽ'!H45</f>
        <v>0</v>
      </c>
      <c r="BM26" s="120">
        <f>'2. ŽO osim OŽ'!H45</f>
        <v>0</v>
      </c>
      <c r="BO26" s="120">
        <f>'3. ŽO zbirno'!H45</f>
        <v>0</v>
      </c>
      <c r="BQ26" s="120">
        <f>'4. N i DZ'!H45</f>
        <v>0</v>
      </c>
      <c r="BS26" s="120">
        <f>'5. MV'!H45</f>
        <v>0</v>
      </c>
      <c r="BU26" s="120">
        <f>'6. PO i TR'!H45</f>
        <v>0</v>
      </c>
      <c r="BW26" s="120">
        <f>'7. VAZ'!H45</f>
        <v>0</v>
      </c>
      <c r="BY26" s="120">
        <f>'8. IMOV'!H45</f>
        <v>0</v>
      </c>
      <c r="CA26" s="120">
        <f>'9. ODG.'!H45</f>
        <v>0</v>
      </c>
      <c r="CC26" s="120">
        <f>'10.KJ'!H45</f>
        <v>0</v>
      </c>
      <c r="CE26" s="120">
        <f>'11. OST.'!H45</f>
        <v>0</v>
      </c>
      <c r="CG26" s="120">
        <f>'12. NZZ'!H45</f>
        <v>0</v>
      </c>
      <c r="CI26" s="120">
        <f>'13. ukupno'!H45</f>
        <v>0</v>
      </c>
      <c r="CJ26" s="124">
        <f t="shared" si="3"/>
        <v>0</v>
      </c>
      <c r="CK26" s="124">
        <f t="shared" si="4"/>
        <v>0</v>
      </c>
    </row>
    <row r="27" spans="2:89" ht="25.5">
      <c r="B27" s="121">
        <v>1073</v>
      </c>
      <c r="C27" s="139"/>
      <c r="D27" s="153"/>
      <c r="E27" s="151">
        <f>SUM(E23:E26)</f>
        <v>-401755</v>
      </c>
      <c r="F27" s="153"/>
      <c r="G27" s="152">
        <f>SUM(G23:G26)</f>
        <v>-32105</v>
      </c>
      <c r="H27" s="153"/>
      <c r="I27" s="151">
        <f>SUM(I23:I26)</f>
        <v>-433860</v>
      </c>
      <c r="J27" s="153"/>
      <c r="K27" s="152">
        <f>SUM(K23:K26)</f>
        <v>-484998</v>
      </c>
      <c r="L27" s="153"/>
      <c r="M27" s="151">
        <f>SUM(M23:M26)</f>
        <v>-490445</v>
      </c>
      <c r="N27" s="153"/>
      <c r="O27" s="151">
        <f>SUM(O23:O26)</f>
        <v>-89185</v>
      </c>
      <c r="P27" s="153"/>
      <c r="Q27" s="151">
        <f>SUM(Q23:Q26)</f>
        <v>-13921</v>
      </c>
      <c r="R27" s="153"/>
      <c r="S27" s="153">
        <f>SUM(S23:S26)</f>
        <v>-1800234</v>
      </c>
      <c r="T27" s="153"/>
      <c r="U27" s="153">
        <f>SUM(U23:U26)</f>
        <v>-3745238</v>
      </c>
      <c r="V27" s="155"/>
      <c r="W27" s="153">
        <f>SUM(W23:W26)</f>
        <v>-14166</v>
      </c>
      <c r="X27" s="155"/>
      <c r="Y27" s="151">
        <f>SUM(Y23:Y26)</f>
        <v>-194954</v>
      </c>
      <c r="Z27" s="155"/>
      <c r="AA27" s="151">
        <f>SUM(AA23:AA26)</f>
        <v>-6833141</v>
      </c>
      <c r="AB27" s="155"/>
      <c r="AC27" s="152">
        <f>SUM(AC23:AC26)</f>
        <v>-7267001</v>
      </c>
      <c r="AD27" s="110" t="s">
        <v>352</v>
      </c>
      <c r="AE27" s="124">
        <f>AC27+BG76</f>
        <v>0</v>
      </c>
      <c r="AG27" s="39" t="s">
        <v>142</v>
      </c>
      <c r="AH27" s="256">
        <v>1025</v>
      </c>
      <c r="AI27" s="220">
        <f>'1. OŽ'!G46</f>
        <v>0</v>
      </c>
      <c r="AK27" s="220">
        <f>'2. ŽO osim OŽ'!G46</f>
        <v>0</v>
      </c>
      <c r="AM27" s="220">
        <f>'3. ŽO zbirno'!G46</f>
        <v>0</v>
      </c>
      <c r="AO27" s="220">
        <f>'4. N i DZ'!G46</f>
        <v>0</v>
      </c>
      <c r="AQ27" s="220">
        <f>'5. MV'!G46</f>
        <v>0</v>
      </c>
      <c r="AS27" s="220">
        <f>'6. PO i TR'!G46</f>
        <v>0</v>
      </c>
      <c r="AU27" s="220">
        <f>'7. VAZ'!G46</f>
        <v>0</v>
      </c>
      <c r="AW27" s="220">
        <f>'8. IMOV'!G46</f>
        <v>0</v>
      </c>
      <c r="AY27" s="220">
        <f>'9. ODG.'!G46</f>
        <v>486840</v>
      </c>
      <c r="BA27" s="220">
        <f>'10.KJ'!G46</f>
        <v>0</v>
      </c>
      <c r="BC27" s="220">
        <f>'11. OST.'!G46</f>
        <v>0</v>
      </c>
      <c r="BE27" s="220">
        <f>'12. NZZ'!G46</f>
        <v>486840</v>
      </c>
      <c r="BG27" s="220">
        <f>'13. ukupno'!G46</f>
        <v>486840</v>
      </c>
      <c r="BH27" s="124">
        <f t="shared" si="0"/>
        <v>0</v>
      </c>
      <c r="BI27" s="124">
        <f t="shared" si="1"/>
        <v>0</v>
      </c>
      <c r="BJ27" s="124">
        <f t="shared" si="2"/>
        <v>0</v>
      </c>
      <c r="BK27" s="120">
        <f>'1. OŽ'!H46</f>
        <v>0</v>
      </c>
      <c r="BM27" s="120">
        <f>'2. ŽO osim OŽ'!H46</f>
        <v>0</v>
      </c>
      <c r="BO27" s="120">
        <f>'3. ŽO zbirno'!H46</f>
        <v>0</v>
      </c>
      <c r="BQ27" s="120">
        <f>'4. N i DZ'!H46</f>
        <v>0</v>
      </c>
      <c r="BS27" s="120">
        <f>'5. MV'!H46</f>
        <v>0</v>
      </c>
      <c r="BU27" s="120">
        <f>'6. PO i TR'!H46</f>
        <v>0</v>
      </c>
      <c r="BW27" s="120">
        <f>'7. VAZ'!H46</f>
        <v>0</v>
      </c>
      <c r="BY27" s="120">
        <f>'8. IMOV'!H46</f>
        <v>0</v>
      </c>
      <c r="CA27" s="120">
        <f>'9. ODG.'!H46</f>
        <v>356433</v>
      </c>
      <c r="CC27" s="120">
        <f>'10.KJ'!H46</f>
        <v>0</v>
      </c>
      <c r="CE27" s="120">
        <f>'11. OST.'!H46</f>
        <v>0</v>
      </c>
      <c r="CG27" s="120">
        <f>'12. NZZ'!H46</f>
        <v>0</v>
      </c>
      <c r="CI27" s="120">
        <f>'13. ukupno'!H46</f>
        <v>356433</v>
      </c>
      <c r="CJ27" s="124">
        <f t="shared" si="3"/>
        <v>0</v>
      </c>
      <c r="CK27" s="124">
        <f t="shared" si="4"/>
        <v>356433</v>
      </c>
    </row>
    <row r="28" spans="2:89" ht="25.5">
      <c r="B28" s="121" t="s">
        <v>411</v>
      </c>
      <c r="C28" s="139" t="s">
        <v>395</v>
      </c>
      <c r="D28" s="165"/>
      <c r="E28" s="164">
        <f>E17+E21+E27</f>
        <v>-103100</v>
      </c>
      <c r="F28" s="165"/>
      <c r="G28" s="166">
        <f>G17+G21+G27</f>
        <v>37009</v>
      </c>
      <c r="H28" s="165"/>
      <c r="I28" s="165">
        <f>I17+I21+I27</f>
        <v>-66091</v>
      </c>
      <c r="J28" s="165"/>
      <c r="K28" s="164">
        <f>K17+K21+K27</f>
        <v>-155597</v>
      </c>
      <c r="L28" s="165"/>
      <c r="M28" s="165">
        <f>M17+M21+M27</f>
        <v>-338943</v>
      </c>
      <c r="N28" s="165"/>
      <c r="O28" s="164">
        <f>O17+O21+O27</f>
        <v>110005</v>
      </c>
      <c r="P28" s="165"/>
      <c r="Q28" s="165">
        <f>Q17+Q21+Q27</f>
        <v>2732</v>
      </c>
      <c r="R28" s="165"/>
      <c r="S28" s="166">
        <f>S17+S21+S27</f>
        <v>-136413</v>
      </c>
      <c r="T28" s="165"/>
      <c r="U28" s="166">
        <f>U17+U21+U27</f>
        <v>1464315</v>
      </c>
      <c r="V28" s="165"/>
      <c r="W28" s="166">
        <f>W17+W21+W27</f>
        <v>3003</v>
      </c>
      <c r="X28" s="165"/>
      <c r="Y28" s="164">
        <f>Y17+Y21+Y27</f>
        <v>52327</v>
      </c>
      <c r="Z28" s="165"/>
      <c r="AA28" s="164">
        <f>AA17+AA21+AA27</f>
        <v>1001429</v>
      </c>
      <c r="AB28" s="165"/>
      <c r="AC28" s="164">
        <f>AC17+AC21+AC27</f>
        <v>935338</v>
      </c>
      <c r="AD28" s="110" t="s">
        <v>351</v>
      </c>
      <c r="AE28" s="124">
        <f>AC28-BG89+BG90</f>
        <v>0</v>
      </c>
      <c r="AG28" s="85" t="s">
        <v>296</v>
      </c>
      <c r="AH28" s="255">
        <v>1026</v>
      </c>
      <c r="AI28" s="219">
        <f>'1. OŽ'!G47</f>
        <v>552361</v>
      </c>
      <c r="AK28" s="219">
        <f>'2. ŽO osim OŽ'!G47</f>
        <v>35064</v>
      </c>
      <c r="AM28" s="219">
        <f>'3. ŽO zbirno'!G47</f>
        <v>587425</v>
      </c>
      <c r="AO28" s="219">
        <f>'4. N i DZ'!G47</f>
        <v>953090</v>
      </c>
      <c r="AQ28" s="219">
        <f>'5. MV'!G47</f>
        <v>1114638</v>
      </c>
      <c r="AS28" s="219">
        <f>'6. PO i TR'!G47</f>
        <v>65981</v>
      </c>
      <c r="AU28" s="219">
        <f>'7. VAZ'!G47</f>
        <v>11896</v>
      </c>
      <c r="AW28" s="219">
        <f>'8. IMOV'!G47</f>
        <v>2226956</v>
      </c>
      <c r="AY28" s="219">
        <f>'9. ODG.'!G47</f>
        <v>2938107</v>
      </c>
      <c r="BA28" s="219">
        <f>'10.KJ'!G47</f>
        <v>21484</v>
      </c>
      <c r="BC28" s="219">
        <f>'11. OST.'!G47</f>
        <v>112032</v>
      </c>
      <c r="BE28" s="219">
        <f>'12. NZZ'!G47</f>
        <v>7444184</v>
      </c>
      <c r="BG28" s="219">
        <f>'13. ukupno'!G47</f>
        <v>8031609</v>
      </c>
      <c r="BH28" s="124">
        <f t="shared" si="0"/>
        <v>0</v>
      </c>
      <c r="BI28" s="124">
        <f t="shared" si="1"/>
        <v>0</v>
      </c>
      <c r="BJ28" s="124">
        <f t="shared" si="2"/>
        <v>0</v>
      </c>
      <c r="BK28" s="120">
        <f>'1. OŽ'!H47</f>
        <v>0</v>
      </c>
      <c r="BM28" s="120">
        <f>'2. ŽO osim OŽ'!H47</f>
        <v>0</v>
      </c>
      <c r="BO28" s="120">
        <f>'3. ŽO zbirno'!H47</f>
        <v>0</v>
      </c>
      <c r="BQ28" s="120">
        <f>'4. N i DZ'!H47</f>
        <v>942627</v>
      </c>
      <c r="BS28" s="120">
        <f>'5. MV'!H47</f>
        <v>0</v>
      </c>
      <c r="BU28" s="120">
        <f>'6. PO i TR'!H47</f>
        <v>0</v>
      </c>
      <c r="BW28" s="120">
        <f>'7. VAZ'!H47</f>
        <v>2808</v>
      </c>
      <c r="BY28" s="120">
        <f>'8. IMOV'!H47</f>
        <v>2279020</v>
      </c>
      <c r="CA28" s="120">
        <f>'9. ODG.'!H47</f>
        <v>2573318</v>
      </c>
      <c r="CC28" s="120">
        <f>'10.KJ'!H47</f>
        <v>0</v>
      </c>
      <c r="CE28" s="120">
        <f>'11. OST.'!H47</f>
        <v>88030</v>
      </c>
      <c r="CG28" s="120">
        <f>'12. NZZ'!H47</f>
        <v>0</v>
      </c>
      <c r="CI28" s="120">
        <f>'13. ukupno'!H47</f>
        <v>8504313</v>
      </c>
      <c r="CJ28" s="124">
        <f t="shared" si="3"/>
        <v>2618510</v>
      </c>
      <c r="CK28" s="124">
        <f t="shared" si="4"/>
        <v>8504313</v>
      </c>
    </row>
    <row r="29" spans="2:89" ht="25.5">
      <c r="C29" s="139" t="s">
        <v>350</v>
      </c>
      <c r="D29" s="153"/>
      <c r="E29" s="144"/>
      <c r="F29" s="153"/>
      <c r="G29" s="154"/>
      <c r="H29" s="153"/>
      <c r="I29" s="154"/>
      <c r="J29" s="153"/>
      <c r="K29" s="144"/>
      <c r="L29" s="153"/>
      <c r="M29" s="154"/>
      <c r="N29" s="153"/>
      <c r="O29" s="144"/>
      <c r="P29" s="153"/>
      <c r="Q29" s="154"/>
      <c r="R29" s="153"/>
      <c r="S29" s="154"/>
      <c r="T29" s="153"/>
      <c r="U29" s="154"/>
      <c r="V29" s="155"/>
      <c r="W29" s="154"/>
      <c r="X29" s="155"/>
      <c r="Y29" s="144"/>
      <c r="Z29" s="155"/>
      <c r="AA29" s="144"/>
      <c r="AB29" s="155"/>
      <c r="AC29" s="144"/>
      <c r="AE29" s="124"/>
      <c r="AG29" s="39" t="s">
        <v>32</v>
      </c>
      <c r="AH29" s="256">
        <v>1027</v>
      </c>
      <c r="AI29" s="220">
        <f>'1. OŽ'!G48</f>
        <v>552350</v>
      </c>
      <c r="AK29" s="220">
        <f>'2. ŽO osim OŽ'!G48</f>
        <v>35063</v>
      </c>
      <c r="AM29" s="220">
        <f>'3. ŽO zbirno'!G48</f>
        <v>587413</v>
      </c>
      <c r="AO29" s="220">
        <f>'4. N i DZ'!G48</f>
        <v>0</v>
      </c>
      <c r="AQ29" s="220">
        <f>'5. MV'!G48</f>
        <v>0</v>
      </c>
      <c r="AS29" s="220">
        <f>'6. PO i TR'!G48</f>
        <v>0</v>
      </c>
      <c r="AU29" s="220">
        <f>'7. VAZ'!G48</f>
        <v>0</v>
      </c>
      <c r="AW29" s="220">
        <f>'8. IMOV'!G48</f>
        <v>0</v>
      </c>
      <c r="AY29" s="220">
        <f>'9. ODG.'!G48</f>
        <v>0</v>
      </c>
      <c r="BA29" s="220">
        <f>'10.KJ'!G48</f>
        <v>0</v>
      </c>
      <c r="BC29" s="220">
        <f>'11. OST.'!G48</f>
        <v>0</v>
      </c>
      <c r="BE29" s="220">
        <f>'12. NZZ'!G48</f>
        <v>0</v>
      </c>
      <c r="BG29" s="220">
        <f>'13. ukupno'!G48</f>
        <v>587413</v>
      </c>
      <c r="BH29" s="124">
        <f t="shared" si="0"/>
        <v>0</v>
      </c>
      <c r="BI29" s="124">
        <f t="shared" si="1"/>
        <v>0</v>
      </c>
      <c r="BJ29" s="124">
        <f t="shared" si="2"/>
        <v>0</v>
      </c>
      <c r="BK29" s="120">
        <f>'1. OŽ'!H48</f>
        <v>0</v>
      </c>
      <c r="BM29" s="120">
        <f>'2. ŽO osim OŽ'!H48</f>
        <v>0</v>
      </c>
      <c r="BO29" s="120">
        <f>'3. ŽO zbirno'!H48</f>
        <v>0</v>
      </c>
      <c r="BQ29" s="120">
        <f>'4. N i DZ'!H48</f>
        <v>0</v>
      </c>
      <c r="BS29" s="120">
        <f>'5. MV'!H48</f>
        <v>0</v>
      </c>
      <c r="BU29" s="120">
        <f>'6. PO i TR'!H48</f>
        <v>0</v>
      </c>
      <c r="BW29" s="120">
        <f>'7. VAZ'!H48</f>
        <v>0</v>
      </c>
      <c r="BY29" s="120">
        <f>'8. IMOV'!H48</f>
        <v>0</v>
      </c>
      <c r="CA29" s="120">
        <f>'9. ODG.'!H48</f>
        <v>0</v>
      </c>
      <c r="CC29" s="120">
        <f>'10.KJ'!H48</f>
        <v>0</v>
      </c>
      <c r="CE29" s="120">
        <f>'11. OST.'!H48</f>
        <v>0</v>
      </c>
      <c r="CG29" s="120">
        <f>'12. NZZ'!H48</f>
        <v>0</v>
      </c>
      <c r="CI29" s="120">
        <f>'13. ukupno'!H48</f>
        <v>1072233</v>
      </c>
      <c r="CJ29" s="124">
        <f t="shared" si="3"/>
        <v>1072233</v>
      </c>
      <c r="CK29" s="124">
        <f t="shared" si="4"/>
        <v>1072233</v>
      </c>
    </row>
    <row r="30" spans="2:89" ht="12.75">
      <c r="B30" s="121">
        <v>1088</v>
      </c>
      <c r="C30" s="156" t="s">
        <v>414</v>
      </c>
      <c r="D30" s="153"/>
      <c r="E30" s="144">
        <f>VLOOKUP($B30,$AH:$CI,2,FALSE)</f>
        <v>31787</v>
      </c>
      <c r="F30" s="155"/>
      <c r="G30" s="144">
        <f>VLOOKUP($B30,$AH:$CI,4,FALSE)</f>
        <v>2517</v>
      </c>
      <c r="H30" s="155"/>
      <c r="I30" s="144">
        <f>VLOOKUP($B30,$AH:$CI,6,FALSE)</f>
        <v>34304</v>
      </c>
      <c r="J30" s="155"/>
      <c r="K30" s="144">
        <f>VLOOKUP($B30,$AH:$CI,8,FALSE)</f>
        <v>14578</v>
      </c>
      <c r="L30" s="155"/>
      <c r="M30" s="144">
        <f>VLOOKUP($B30,$AH:$CI,10,FALSE)</f>
        <v>13834</v>
      </c>
      <c r="N30" s="155"/>
      <c r="O30" s="144">
        <f>VLOOKUP($B30,$AH:$CI,12,FALSE)</f>
        <v>6422</v>
      </c>
      <c r="P30" s="155"/>
      <c r="Q30" s="144">
        <f>VLOOKUP($B30,$AH:$CI,14,FALSE)</f>
        <v>5043</v>
      </c>
      <c r="R30" s="155"/>
      <c r="S30" s="144">
        <f>VLOOKUP($B30,$AH:$CI,16,FALSE)</f>
        <v>110443</v>
      </c>
      <c r="T30" s="155"/>
      <c r="U30" s="144">
        <f>VLOOKUP($B30,$AH:$CI,18,FALSE)</f>
        <v>105981</v>
      </c>
      <c r="V30" s="155"/>
      <c r="W30" s="144">
        <f>VLOOKUP($B30,$AH:$CI,20,FALSE)</f>
        <v>112</v>
      </c>
      <c r="X30" s="155"/>
      <c r="Y30" s="144">
        <f>VLOOKUP($B30,$AH:$CI,22,FALSE)</f>
        <v>163</v>
      </c>
      <c r="Z30" s="155"/>
      <c r="AA30" s="144">
        <f>VLOOKUP($B30,$AH:$CI,24,FALSE)</f>
        <v>256576</v>
      </c>
      <c r="AB30" s="155"/>
      <c r="AC30" s="144">
        <f>VLOOKUP($B30,$AH:$CI,26,FALSE)</f>
        <v>290880</v>
      </c>
      <c r="AD30" s="110" t="s">
        <v>349</v>
      </c>
      <c r="AE30" s="124">
        <f>AC30-BG91</f>
        <v>0</v>
      </c>
      <c r="AG30" s="39" t="s">
        <v>33</v>
      </c>
      <c r="AH30" s="256">
        <v>1028</v>
      </c>
      <c r="AI30" s="220">
        <f>'1. OŽ'!G49</f>
        <v>0</v>
      </c>
      <c r="AK30" s="220">
        <f>'2. ŽO osim OŽ'!G49</f>
        <v>0</v>
      </c>
      <c r="AM30" s="220">
        <f>'3. ŽO zbirno'!G49</f>
        <v>0</v>
      </c>
      <c r="AO30" s="220">
        <f>'4. N i DZ'!G49</f>
        <v>896083</v>
      </c>
      <c r="AQ30" s="220">
        <f>'5. MV'!G49</f>
        <v>1030906</v>
      </c>
      <c r="AS30" s="220">
        <f>'6. PO i TR'!G49</f>
        <v>68827</v>
      </c>
      <c r="AU30" s="220">
        <f>'7. VAZ'!G49</f>
        <v>21650</v>
      </c>
      <c r="AW30" s="220">
        <f>'8. IMOV'!G49</f>
        <v>3971435</v>
      </c>
      <c r="AY30" s="220">
        <f>'9. ODG.'!G49</f>
        <v>2697914</v>
      </c>
      <c r="BA30" s="220">
        <f>'10.KJ'!G49</f>
        <v>19804</v>
      </c>
      <c r="BC30" s="220">
        <f>'11. OST.'!G49</f>
        <v>102830</v>
      </c>
      <c r="BE30" s="220">
        <f>'12. NZZ'!G49</f>
        <v>8809449</v>
      </c>
      <c r="BG30" s="220">
        <f>'13. ukupno'!G49</f>
        <v>8809449</v>
      </c>
      <c r="BH30" s="124">
        <f t="shared" si="0"/>
        <v>0</v>
      </c>
      <c r="BI30" s="124">
        <f t="shared" si="1"/>
        <v>0</v>
      </c>
      <c r="BJ30" s="124">
        <f t="shared" si="2"/>
        <v>0</v>
      </c>
      <c r="BK30" s="120">
        <f>'1. OŽ'!H49</f>
        <v>0</v>
      </c>
      <c r="BM30" s="120">
        <f>'2. ŽO osim OŽ'!H49</f>
        <v>0</v>
      </c>
      <c r="BO30" s="120">
        <f>'3. ŽO zbirno'!H49</f>
        <v>0</v>
      </c>
      <c r="BQ30" s="120">
        <f>'4. N i DZ'!H49</f>
        <v>858299</v>
      </c>
      <c r="BS30" s="120">
        <f>'5. MV'!H49</f>
        <v>0</v>
      </c>
      <c r="BU30" s="120">
        <f>'6. PO i TR'!H49</f>
        <v>0</v>
      </c>
      <c r="BW30" s="120">
        <f>'7. VAZ'!H49</f>
        <v>4831</v>
      </c>
      <c r="BY30" s="120">
        <f>'8. IMOV'!H49</f>
        <v>2244547</v>
      </c>
      <c r="CA30" s="120">
        <f>'9. ODG.'!H49</f>
        <v>2333199</v>
      </c>
      <c r="CC30" s="120">
        <f>'10.KJ'!H49</f>
        <v>0</v>
      </c>
      <c r="CE30" s="120">
        <f>'11. OST.'!H49</f>
        <v>80158</v>
      </c>
      <c r="CG30" s="120">
        <f>'12. NZZ'!H49</f>
        <v>0</v>
      </c>
      <c r="CI30" s="120">
        <f>'13. ukupno'!H49</f>
        <v>6938024</v>
      </c>
      <c r="CJ30" s="124">
        <f t="shared" si="3"/>
        <v>1416990</v>
      </c>
      <c r="CK30" s="124">
        <f t="shared" si="4"/>
        <v>6938024</v>
      </c>
    </row>
    <row r="31" spans="2:89" ht="12.75">
      <c r="B31" s="121">
        <v>1089</v>
      </c>
      <c r="C31" s="156" t="s">
        <v>415</v>
      </c>
      <c r="D31" s="153"/>
      <c r="E31" s="144">
        <f>-VLOOKUP($B31,$AH:$CI,2,FALSE)</f>
        <v>-11856</v>
      </c>
      <c r="F31" s="155"/>
      <c r="G31" s="144">
        <f>-VLOOKUP($B31,$AH:$CI,4,FALSE)</f>
        <v>-928</v>
      </c>
      <c r="H31" s="155"/>
      <c r="I31" s="144">
        <f>-VLOOKUP($B31,$AH:$CI,6,FALSE)</f>
        <v>-12784</v>
      </c>
      <c r="J31" s="155"/>
      <c r="K31" s="144">
        <f>-VLOOKUP($B31,$AH:$CI,8,FALSE)</f>
        <v>-3612</v>
      </c>
      <c r="L31" s="155"/>
      <c r="M31" s="144">
        <f>-VLOOKUP($B31,$AH:$CI,10,FALSE)</f>
        <v>-3872</v>
      </c>
      <c r="N31" s="155"/>
      <c r="O31" s="144">
        <f>-VLOOKUP($B31,$AH:$CI,12,FALSE)</f>
        <v>-2150</v>
      </c>
      <c r="P31" s="155"/>
      <c r="Q31" s="144">
        <f>-VLOOKUP($B31,$AH:$CI,14,FALSE)</f>
        <v>-840</v>
      </c>
      <c r="R31" s="155"/>
      <c r="S31" s="144">
        <f>-VLOOKUP($B31,$AH:$CI,16,FALSE)</f>
        <v>-20151</v>
      </c>
      <c r="T31" s="155"/>
      <c r="U31" s="144">
        <f>-VLOOKUP($B31,$AH:$CI,18,FALSE)</f>
        <v>-31760</v>
      </c>
      <c r="V31" s="155"/>
      <c r="W31" s="144">
        <f>-VLOOKUP($B31,$AH:$CI,20,FALSE)</f>
        <v>-1698</v>
      </c>
      <c r="X31" s="155"/>
      <c r="Y31" s="144">
        <f>-VLOOKUP($B31,$AH:$CI,22,FALSE)</f>
        <v>-1212</v>
      </c>
      <c r="Z31" s="155"/>
      <c r="AA31" s="144">
        <f>-VLOOKUP($B31,$AH:$CI,24,FALSE)</f>
        <v>-65295</v>
      </c>
      <c r="AB31" s="155"/>
      <c r="AC31" s="144">
        <f>-VLOOKUP($B31,$AH:$CI,26,FALSE)</f>
        <v>-78079</v>
      </c>
      <c r="AD31" s="110" t="s">
        <v>348</v>
      </c>
      <c r="AE31" s="124">
        <f>AC31+BG92</f>
        <v>0</v>
      </c>
      <c r="AG31" s="39" t="s">
        <v>35</v>
      </c>
      <c r="AH31" s="256">
        <v>1029</v>
      </c>
      <c r="AI31" s="220">
        <f>'1. OŽ'!G50</f>
        <v>0</v>
      </c>
      <c r="AK31" s="220">
        <f>'2. ŽO osim OŽ'!G50</f>
        <v>0</v>
      </c>
      <c r="AM31" s="220">
        <f>'3. ŽO zbirno'!G50</f>
        <v>0</v>
      </c>
      <c r="AO31" s="220">
        <f>'4. N i DZ'!G50</f>
        <v>10961</v>
      </c>
      <c r="AQ31" s="220">
        <f>'5. MV'!G50</f>
        <v>1403</v>
      </c>
      <c r="AS31" s="220">
        <f>'6. PO i TR'!G50</f>
        <v>0</v>
      </c>
      <c r="AU31" s="220">
        <f>'7. VAZ'!G50</f>
        <v>0</v>
      </c>
      <c r="AW31" s="220">
        <f>'8. IMOV'!G50</f>
        <v>24817</v>
      </c>
      <c r="AY31" s="220">
        <f>'9. ODG.'!G50</f>
        <v>1092</v>
      </c>
      <c r="BA31" s="220">
        <f>'10.KJ'!G50</f>
        <v>0</v>
      </c>
      <c r="BC31" s="220">
        <f>'11. OST.'!G50</f>
        <v>0</v>
      </c>
      <c r="BE31" s="220">
        <f>'12. NZZ'!G50</f>
        <v>38273</v>
      </c>
      <c r="BG31" s="220">
        <f>'13. ukupno'!G50</f>
        <v>38273</v>
      </c>
      <c r="BH31" s="124">
        <f t="shared" si="0"/>
        <v>0</v>
      </c>
      <c r="BI31" s="124">
        <f t="shared" si="1"/>
        <v>0</v>
      </c>
      <c r="BJ31" s="124">
        <f t="shared" si="2"/>
        <v>0</v>
      </c>
      <c r="BK31" s="120">
        <f>'1. OŽ'!H50</f>
        <v>0</v>
      </c>
      <c r="BM31" s="120">
        <f>'2. ŽO osim OŽ'!H50</f>
        <v>0</v>
      </c>
      <c r="BO31" s="120">
        <f>'3. ŽO zbirno'!H50</f>
        <v>0</v>
      </c>
      <c r="BQ31" s="120">
        <f>'4. N i DZ'!H50</f>
        <v>7044</v>
      </c>
      <c r="BS31" s="120">
        <f>'5. MV'!H50</f>
        <v>0</v>
      </c>
      <c r="BU31" s="120">
        <f>'6. PO i TR'!H50</f>
        <v>0</v>
      </c>
      <c r="BW31" s="120">
        <f>'7. VAZ'!H50</f>
        <v>0</v>
      </c>
      <c r="BY31" s="120">
        <f>'8. IMOV'!H50</f>
        <v>85499</v>
      </c>
      <c r="CA31" s="120">
        <f>'9. ODG.'!H50</f>
        <v>3574</v>
      </c>
      <c r="CC31" s="120">
        <f>'10.KJ'!H50</f>
        <v>0</v>
      </c>
      <c r="CE31" s="120">
        <f>'11. OST.'!H50</f>
        <v>0</v>
      </c>
      <c r="CG31" s="120">
        <f>'12. NZZ'!H50</f>
        <v>0</v>
      </c>
      <c r="CI31" s="120">
        <f>'13. ukupno'!H50</f>
        <v>97709</v>
      </c>
      <c r="CJ31" s="124">
        <f t="shared" si="3"/>
        <v>1592</v>
      </c>
      <c r="CK31" s="124">
        <f t="shared" si="4"/>
        <v>97709</v>
      </c>
    </row>
    <row r="32" spans="2:89" ht="42" customHeight="1">
      <c r="B32" s="121">
        <v>1090</v>
      </c>
      <c r="C32" s="156" t="s">
        <v>347</v>
      </c>
      <c r="D32" s="153"/>
      <c r="E32" s="144">
        <f>VLOOKUP($B32,$AH:$CI,2,FALSE)</f>
        <v>2123</v>
      </c>
      <c r="F32" s="155"/>
      <c r="G32" s="144">
        <f>VLOOKUP($B32,$AH:$CI,4,FALSE)</f>
        <v>151</v>
      </c>
      <c r="H32" s="155"/>
      <c r="I32" s="144">
        <f>VLOOKUP($B32,$AH:$CI,6,FALSE)</f>
        <v>2274</v>
      </c>
      <c r="J32" s="155"/>
      <c r="K32" s="144">
        <f>VLOOKUP($B32,$AH:$CI,8,FALSE)</f>
        <v>82439</v>
      </c>
      <c r="L32" s="155"/>
      <c r="M32" s="144">
        <f>VLOOKUP($B32,$AH:$CI,10,FALSE)</f>
        <v>62072</v>
      </c>
      <c r="N32" s="155"/>
      <c r="O32" s="144">
        <f>VLOOKUP($B32,$AH:$CI,12,FALSE)</f>
        <v>21929</v>
      </c>
      <c r="P32" s="155"/>
      <c r="Q32" s="144">
        <f>VLOOKUP($B32,$AH:$CI,14,FALSE)</f>
        <v>14779</v>
      </c>
      <c r="R32" s="155"/>
      <c r="S32" s="144">
        <f>VLOOKUP($B32,$AH:$CI,16,FALSE)</f>
        <v>520418</v>
      </c>
      <c r="T32" s="155"/>
      <c r="U32" s="144">
        <f>VLOOKUP($B32,$AH:$CI,18,FALSE)</f>
        <v>169711</v>
      </c>
      <c r="V32" s="155"/>
      <c r="W32" s="144">
        <f>VLOOKUP($B32,$AH:$CI,20,FALSE)</f>
        <v>843</v>
      </c>
      <c r="X32" s="155"/>
      <c r="Y32" s="144">
        <f>VLOOKUP($B32,$AH:$CI,22,FALSE)</f>
        <v>4883</v>
      </c>
      <c r="Z32" s="155"/>
      <c r="AA32" s="144">
        <f>VLOOKUP($B32,$AH:$CI,24,FALSE)</f>
        <v>877074</v>
      </c>
      <c r="AB32" s="155"/>
      <c r="AC32" s="144">
        <f>VLOOKUP($B32,$AH:$CI,26,FALSE)</f>
        <v>879348</v>
      </c>
      <c r="AD32" s="110" t="s">
        <v>346</v>
      </c>
      <c r="AE32" s="124">
        <f>AC32-BG93</f>
        <v>0</v>
      </c>
      <c r="AG32" s="39" t="s">
        <v>36</v>
      </c>
      <c r="AH32" s="256">
        <v>1030</v>
      </c>
      <c r="AI32" s="220">
        <f>'1. OŽ'!G51</f>
        <v>0</v>
      </c>
      <c r="AK32" s="220">
        <f>'2. ŽO osim OŽ'!G51</f>
        <v>0</v>
      </c>
      <c r="AM32" s="220">
        <f>'3. ŽO zbirno'!G51</f>
        <v>0</v>
      </c>
      <c r="AO32" s="220">
        <f>'4. N i DZ'!G51</f>
        <v>0</v>
      </c>
      <c r="AQ32" s="220">
        <f>'5. MV'!G51</f>
        <v>3429</v>
      </c>
      <c r="AS32" s="220">
        <f>'6. PO i TR'!G51</f>
        <v>0</v>
      </c>
      <c r="AU32" s="220">
        <f>'7. VAZ'!G51</f>
        <v>0</v>
      </c>
      <c r="AW32" s="220">
        <f>'8. IMOV'!G51</f>
        <v>0</v>
      </c>
      <c r="AY32" s="220">
        <f>'9. ODG.'!G51</f>
        <v>0</v>
      </c>
      <c r="BA32" s="220">
        <f>'10.KJ'!G51</f>
        <v>0</v>
      </c>
      <c r="BC32" s="220">
        <f>'11. OST.'!G51</f>
        <v>0</v>
      </c>
      <c r="BE32" s="220">
        <f>'12. NZZ'!G51</f>
        <v>3429</v>
      </c>
      <c r="BG32" s="220">
        <f>'13. ukupno'!G51</f>
        <v>3429</v>
      </c>
      <c r="BH32" s="124">
        <f t="shared" si="0"/>
        <v>0</v>
      </c>
      <c r="BI32" s="124">
        <f t="shared" si="1"/>
        <v>0</v>
      </c>
      <c r="BJ32" s="124">
        <f t="shared" si="2"/>
        <v>0</v>
      </c>
      <c r="BK32" s="120">
        <f>'1. OŽ'!H51</f>
        <v>0</v>
      </c>
      <c r="BM32" s="120">
        <f>'2. ŽO osim OŽ'!H51</f>
        <v>0</v>
      </c>
      <c r="BO32" s="120">
        <f>'3. ŽO zbirno'!H51</f>
        <v>0</v>
      </c>
      <c r="BQ32" s="120">
        <f>'4. N i DZ'!H51</f>
        <v>0</v>
      </c>
      <c r="BS32" s="120">
        <f>'5. MV'!H51</f>
        <v>0</v>
      </c>
      <c r="BU32" s="120">
        <f>'6. PO i TR'!H51</f>
        <v>0</v>
      </c>
      <c r="BW32" s="120">
        <f>'7. VAZ'!H51</f>
        <v>0</v>
      </c>
      <c r="BY32" s="120">
        <f>'8. IMOV'!H51</f>
        <v>0</v>
      </c>
      <c r="CA32" s="120">
        <f>'9. ODG.'!H51</f>
        <v>0</v>
      </c>
      <c r="CC32" s="120">
        <f>'10.KJ'!H51</f>
        <v>0</v>
      </c>
      <c r="CE32" s="120">
        <f>'11. OST.'!H51</f>
        <v>0</v>
      </c>
      <c r="CG32" s="120">
        <f>'12. NZZ'!H51</f>
        <v>0</v>
      </c>
      <c r="CI32" s="120">
        <f>'13. ukupno'!H51</f>
        <v>7064</v>
      </c>
      <c r="CJ32" s="124">
        <f t="shared" si="3"/>
        <v>7064</v>
      </c>
      <c r="CK32" s="124">
        <f t="shared" si="4"/>
        <v>7064</v>
      </c>
    </row>
    <row r="33" spans="1:89" ht="38.25" customHeight="1">
      <c r="B33" s="121">
        <v>1091</v>
      </c>
      <c r="C33" s="156" t="s">
        <v>345</v>
      </c>
      <c r="D33" s="153"/>
      <c r="E33" s="144">
        <f>-VLOOKUP($B33,$AH:$CI,2,FALSE)</f>
        <v>-147166</v>
      </c>
      <c r="F33" s="155"/>
      <c r="G33" s="144">
        <f>-VLOOKUP($B33,$AH:$CI,4,FALSE)</f>
        <v>-4391</v>
      </c>
      <c r="H33" s="155"/>
      <c r="I33" s="144">
        <f>-VLOOKUP($B33,$AH:$CI,6,FALSE)</f>
        <v>-151557</v>
      </c>
      <c r="J33" s="155"/>
      <c r="K33" s="144">
        <f>-VLOOKUP($B33,$AH:$CI,8,FALSE)</f>
        <v>-109525</v>
      </c>
      <c r="L33" s="155"/>
      <c r="M33" s="144">
        <f>-VLOOKUP($B33,$AH:$CI,10,FALSE)</f>
        <v>-128154</v>
      </c>
      <c r="N33" s="155"/>
      <c r="O33" s="144">
        <f>-VLOOKUP($B33,$AH:$CI,12,FALSE)</f>
        <v>-44074</v>
      </c>
      <c r="P33" s="155"/>
      <c r="Q33" s="144">
        <f>-VLOOKUP($B33,$AH:$CI,14,FALSE)</f>
        <v>-2952</v>
      </c>
      <c r="R33" s="155"/>
      <c r="S33" s="144">
        <f>-VLOOKUP($B33,$AH:$CI,16,FALSE)</f>
        <v>-508423</v>
      </c>
      <c r="T33" s="155"/>
      <c r="U33" s="144">
        <f>-VLOOKUP($B33,$AH:$CI,18,FALSE)</f>
        <v>-565736</v>
      </c>
      <c r="V33" s="155"/>
      <c r="W33" s="144">
        <f>-VLOOKUP($B33,$AH:$CI,20,FALSE)</f>
        <v>-2696</v>
      </c>
      <c r="X33" s="155"/>
      <c r="Y33" s="144">
        <f>-VLOOKUP($B33,$AH:$CI,22,FALSE)</f>
        <v>-13744</v>
      </c>
      <c r="Z33" s="155"/>
      <c r="AA33" s="144">
        <f>-VLOOKUP($B33,$AH:$CI,24,FALSE)</f>
        <v>-1375304</v>
      </c>
      <c r="AB33" s="155"/>
      <c r="AC33" s="144">
        <f>-VLOOKUP($B33,$AH:$CI,26,FALSE)</f>
        <v>-1526861</v>
      </c>
      <c r="AD33" s="110" t="s">
        <v>344</v>
      </c>
      <c r="AE33" s="124">
        <f>AC33+BG94</f>
        <v>0</v>
      </c>
      <c r="AG33" s="39" t="s">
        <v>38</v>
      </c>
      <c r="AH33" s="256">
        <v>1031</v>
      </c>
      <c r="AI33" s="220">
        <f>'1. OŽ'!G52</f>
        <v>11</v>
      </c>
      <c r="AK33" s="220">
        <f>'2. ŽO osim OŽ'!G52</f>
        <v>1</v>
      </c>
      <c r="AM33" s="220">
        <f>'3. ŽO zbirno'!G52</f>
        <v>12</v>
      </c>
      <c r="AO33" s="220">
        <f>'4. N i DZ'!G52</f>
        <v>75007</v>
      </c>
      <c r="AQ33" s="220">
        <f>'5. MV'!G52</f>
        <v>84737</v>
      </c>
      <c r="AS33" s="220">
        <f>'6. PO i TR'!G52</f>
        <v>5135</v>
      </c>
      <c r="AU33" s="220">
        <f>'7. VAZ'!G52</f>
        <v>1567</v>
      </c>
      <c r="AW33" s="220">
        <f>'8. IMOV'!G52</f>
        <v>217655</v>
      </c>
      <c r="AY33" s="220">
        <f>'9. ODG.'!G52</f>
        <v>251463</v>
      </c>
      <c r="BA33" s="220">
        <f>'10.KJ'!G52</f>
        <v>1681</v>
      </c>
      <c r="BC33" s="220">
        <f>'11. OST.'!G52</f>
        <v>9202</v>
      </c>
      <c r="BE33" s="220">
        <f>'12. NZZ'!G52</f>
        <v>646447</v>
      </c>
      <c r="BG33" s="220">
        <f>'13. ukupno'!G52</f>
        <v>646459</v>
      </c>
      <c r="BH33" s="124">
        <f t="shared" si="0"/>
        <v>0</v>
      </c>
      <c r="BI33" s="124">
        <f t="shared" si="1"/>
        <v>0</v>
      </c>
      <c r="BJ33" s="124">
        <f t="shared" si="2"/>
        <v>0</v>
      </c>
      <c r="BK33" s="120">
        <f>'1. OŽ'!H52</f>
        <v>0</v>
      </c>
      <c r="BM33" s="120">
        <f>'2. ŽO osim OŽ'!H52</f>
        <v>0</v>
      </c>
      <c r="BO33" s="120">
        <f>'3. ŽO zbirno'!H52</f>
        <v>0</v>
      </c>
      <c r="BQ33" s="120">
        <f>'4. N i DZ'!H52</f>
        <v>83807</v>
      </c>
      <c r="BS33" s="120">
        <f>'5. MV'!H52</f>
        <v>0</v>
      </c>
      <c r="BU33" s="120">
        <f>'6. PO i TR'!H52</f>
        <v>0</v>
      </c>
      <c r="BW33" s="120">
        <f>'7. VAZ'!H52</f>
        <v>417</v>
      </c>
      <c r="BY33" s="120">
        <f>'8. IMOV'!H52</f>
        <v>199524</v>
      </c>
      <c r="CA33" s="120">
        <f>'9. ODG.'!H52</f>
        <v>251455</v>
      </c>
      <c r="CC33" s="120">
        <f>'10.KJ'!H52</f>
        <v>0</v>
      </c>
      <c r="CE33" s="120">
        <f>'11. OST.'!H52</f>
        <v>7872</v>
      </c>
      <c r="CG33" s="120">
        <f>'12. NZZ'!H52</f>
        <v>0</v>
      </c>
      <c r="CI33" s="120">
        <f>'13. ukupno'!H52</f>
        <v>679814</v>
      </c>
      <c r="CJ33" s="124">
        <f t="shared" si="3"/>
        <v>136739</v>
      </c>
      <c r="CK33" s="124">
        <f t="shared" si="4"/>
        <v>679814</v>
      </c>
    </row>
    <row r="34" spans="1:89" ht="17.25" customHeight="1">
      <c r="B34" s="121">
        <v>1092</v>
      </c>
      <c r="C34" s="157" t="s">
        <v>343</v>
      </c>
      <c r="D34" s="153"/>
      <c r="E34" s="144">
        <f>VLOOKUP($B34,$AH:$CI,2,FALSE)</f>
        <v>1735</v>
      </c>
      <c r="F34" s="155"/>
      <c r="G34" s="144">
        <f>VLOOKUP($B34,$AH:$CI,4,FALSE)</f>
        <v>140</v>
      </c>
      <c r="H34" s="155"/>
      <c r="I34" s="144">
        <f>VLOOKUP($B34,$AH:$CI,6,FALSE)</f>
        <v>1875</v>
      </c>
      <c r="J34" s="155"/>
      <c r="K34" s="144">
        <f>VLOOKUP($B34,$AH:$CI,8,FALSE)</f>
        <v>5890</v>
      </c>
      <c r="L34" s="155"/>
      <c r="M34" s="144">
        <f>VLOOKUP($B34,$AH:$CI,10,FALSE)</f>
        <v>8110</v>
      </c>
      <c r="N34" s="155"/>
      <c r="O34" s="144">
        <f>VLOOKUP($B34,$AH:$CI,12,FALSE)</f>
        <v>1304</v>
      </c>
      <c r="P34" s="155"/>
      <c r="Q34" s="144">
        <f>VLOOKUP($B34,$AH:$CI,14,FALSE)</f>
        <v>270</v>
      </c>
      <c r="R34" s="155"/>
      <c r="S34" s="144">
        <f>VLOOKUP($B34,$AH:$CI,16,FALSE)</f>
        <v>48427</v>
      </c>
      <c r="T34" s="155"/>
      <c r="U34" s="144">
        <f>VLOOKUP($B34,$AH:$CI,18,FALSE)</f>
        <v>45594</v>
      </c>
      <c r="V34" s="155"/>
      <c r="W34" s="144">
        <f>VLOOKUP($B34,$AH:$CI,20,FALSE)</f>
        <v>1059</v>
      </c>
      <c r="X34" s="155"/>
      <c r="Y34" s="144">
        <f>VLOOKUP($B34,$AH:$CI,22,FALSE)</f>
        <v>1854</v>
      </c>
      <c r="Z34" s="155"/>
      <c r="AA34" s="144">
        <f>VLOOKUP($B34,$AH:$CI,24,FALSE)</f>
        <v>112508</v>
      </c>
      <c r="AB34" s="155"/>
      <c r="AC34" s="144">
        <f>VLOOKUP($B34,$AH:$CI,26,FALSE)</f>
        <v>114383</v>
      </c>
      <c r="AD34" s="110" t="s">
        <v>342</v>
      </c>
      <c r="AE34" s="124">
        <f>AC34-BG95</f>
        <v>0</v>
      </c>
      <c r="AG34" s="39" t="s">
        <v>39</v>
      </c>
      <c r="AH34" s="256">
        <v>1032</v>
      </c>
      <c r="AI34" s="220">
        <f>'1. OŽ'!G53</f>
        <v>0</v>
      </c>
      <c r="AK34" s="220">
        <f>'2. ŽO osim OŽ'!G53</f>
        <v>0</v>
      </c>
      <c r="AM34" s="220">
        <f>'3. ŽO zbirno'!G53</f>
        <v>0</v>
      </c>
      <c r="AO34" s="220">
        <f>'4. N i DZ'!G53</f>
        <v>28953</v>
      </c>
      <c r="AQ34" s="220">
        <f>'5. MV'!G53</f>
        <v>4615</v>
      </c>
      <c r="AS34" s="220">
        <f>'6. PO i TR'!G53</f>
        <v>6459</v>
      </c>
      <c r="AU34" s="220">
        <f>'7. VAZ'!G53</f>
        <v>0</v>
      </c>
      <c r="AW34" s="220">
        <f>'8. IMOV'!G53</f>
        <v>256965</v>
      </c>
      <c r="AY34" s="220">
        <f>'9. ODG.'!G53</f>
        <v>8261</v>
      </c>
      <c r="BA34" s="220">
        <f>'10.KJ'!G53</f>
        <v>0</v>
      </c>
      <c r="BC34" s="220">
        <f>'11. OST.'!G53</f>
        <v>0</v>
      </c>
      <c r="BE34" s="220">
        <f>'12. NZZ'!G53</f>
        <v>305253</v>
      </c>
      <c r="BG34" s="220">
        <f>'13. ukupno'!G53</f>
        <v>305253</v>
      </c>
      <c r="BH34" s="124">
        <f t="shared" si="0"/>
        <v>0</v>
      </c>
      <c r="BI34" s="124">
        <f t="shared" si="1"/>
        <v>0</v>
      </c>
      <c r="BJ34" s="124">
        <f t="shared" si="2"/>
        <v>0</v>
      </c>
      <c r="BK34" s="120">
        <f>'1. OŽ'!H53</f>
        <v>0</v>
      </c>
      <c r="BM34" s="120">
        <f>'2. ŽO osim OŽ'!H53</f>
        <v>0</v>
      </c>
      <c r="BO34" s="120">
        <f>'3. ŽO zbirno'!H53</f>
        <v>0</v>
      </c>
      <c r="BQ34" s="120">
        <f>'4. N i DZ'!H53</f>
        <v>6523</v>
      </c>
      <c r="BS34" s="120">
        <f>'5. MV'!H53</f>
        <v>0</v>
      </c>
      <c r="BU34" s="120">
        <f>'6. PO i TR'!H53</f>
        <v>0</v>
      </c>
      <c r="BW34" s="120">
        <f>'7. VAZ'!H53</f>
        <v>0</v>
      </c>
      <c r="BY34" s="120">
        <f>'8. IMOV'!H53</f>
        <v>71348</v>
      </c>
      <c r="CA34" s="120">
        <f>'9. ODG.'!H53</f>
        <v>3983</v>
      </c>
      <c r="CC34" s="120">
        <f>'10.KJ'!H53</f>
        <v>0</v>
      </c>
      <c r="CE34" s="120">
        <f>'11. OST.'!H53</f>
        <v>0</v>
      </c>
      <c r="CG34" s="120">
        <f>'12. NZZ'!H53</f>
        <v>0</v>
      </c>
      <c r="CI34" s="120">
        <f>'13. ukupno'!H53</f>
        <v>83304</v>
      </c>
      <c r="CJ34" s="124">
        <f t="shared" si="3"/>
        <v>1450</v>
      </c>
      <c r="CK34" s="124">
        <f t="shared" si="4"/>
        <v>83304</v>
      </c>
    </row>
    <row r="35" spans="1:89" ht="15.75" customHeight="1">
      <c r="B35" s="121">
        <v>1093</v>
      </c>
      <c r="C35" s="156" t="s">
        <v>341</v>
      </c>
      <c r="D35" s="158"/>
      <c r="E35" s="144">
        <f>-VLOOKUP($B35,$AH:$CI,2,FALSE)</f>
        <v>-797</v>
      </c>
      <c r="F35" s="155"/>
      <c r="G35" s="145">
        <f>-VLOOKUP($B35,$AH:$CI,4,FALSE)</f>
        <v>-47</v>
      </c>
      <c r="H35" s="155"/>
      <c r="I35" s="144">
        <f>-VLOOKUP($B35,$AH:$CI,6,FALSE)</f>
        <v>-844</v>
      </c>
      <c r="J35" s="155"/>
      <c r="K35" s="145">
        <f>-VLOOKUP($B35,$AH:$CI,8,FALSE)</f>
        <v>-17920</v>
      </c>
      <c r="L35" s="155"/>
      <c r="M35" s="144">
        <f>-VLOOKUP($B35,$AH:$CI,10,FALSE)</f>
        <v>-20373</v>
      </c>
      <c r="N35" s="155"/>
      <c r="O35" s="144">
        <f>-VLOOKUP($B35,$AH:$CI,12,FALSE)</f>
        <v>-5025</v>
      </c>
      <c r="P35" s="155"/>
      <c r="Q35" s="144">
        <f>-VLOOKUP($B35,$AH:$CI,14,FALSE)</f>
        <v>-1037</v>
      </c>
      <c r="R35" s="155"/>
      <c r="S35" s="144">
        <f>-VLOOKUP($B35,$AH:$CI,16,FALSE)</f>
        <v>-85996</v>
      </c>
      <c r="T35" s="155"/>
      <c r="U35" s="145">
        <f>-VLOOKUP($B35,$AH:$CI,18,FALSE)</f>
        <v>-146747</v>
      </c>
      <c r="V35" s="155"/>
      <c r="W35" s="144">
        <f>-VLOOKUP($B35,$AH:$CI,20,FALSE)</f>
        <v>-385</v>
      </c>
      <c r="X35" s="155"/>
      <c r="Y35" s="145">
        <f>-VLOOKUP($B35,$AH:$CI,22,FALSE)</f>
        <v>-3830</v>
      </c>
      <c r="Z35" s="155"/>
      <c r="AA35" s="145">
        <f>-VLOOKUP($B35,$AH:$CI,24,FALSE)</f>
        <v>-281313</v>
      </c>
      <c r="AB35" s="155"/>
      <c r="AC35" s="144">
        <f>-VLOOKUP($B35,$AH:$CI,26,FALSE)</f>
        <v>-282157</v>
      </c>
      <c r="AD35" s="110" t="s">
        <v>340</v>
      </c>
      <c r="AE35" s="124">
        <f>AC35+BG96</f>
        <v>0</v>
      </c>
      <c r="AG35" s="39" t="s">
        <v>101</v>
      </c>
      <c r="AH35" s="256">
        <v>1033</v>
      </c>
      <c r="AI35" s="220">
        <f>'1. OŽ'!G54</f>
        <v>0</v>
      </c>
      <c r="AK35" s="220">
        <f>'2. ŽO osim OŽ'!G54</f>
        <v>0</v>
      </c>
      <c r="AM35" s="220">
        <f>'3. ŽO zbirno'!G54</f>
        <v>0</v>
      </c>
      <c r="AO35" s="220">
        <f>'4. N i DZ'!G54</f>
        <v>8</v>
      </c>
      <c r="AQ35" s="220">
        <f>'5. MV'!G54</f>
        <v>1222</v>
      </c>
      <c r="AS35" s="220">
        <f>'6. PO i TR'!G54</f>
        <v>1522</v>
      </c>
      <c r="AU35" s="220">
        <f>'7. VAZ'!G54</f>
        <v>11321</v>
      </c>
      <c r="AW35" s="220">
        <f>'8. IMOV'!G54</f>
        <v>1729986</v>
      </c>
      <c r="AY35" s="220">
        <f>'9. ODG.'!G54</f>
        <v>4101</v>
      </c>
      <c r="BA35" s="220">
        <f>'10.KJ'!G54</f>
        <v>1</v>
      </c>
      <c r="BC35" s="220">
        <f>'11. OST.'!G54</f>
        <v>0</v>
      </c>
      <c r="BE35" s="220">
        <f>'12. NZZ'!G54</f>
        <v>1748161</v>
      </c>
      <c r="BG35" s="220">
        <f>'13. ukupno'!G54</f>
        <v>1748161</v>
      </c>
      <c r="BH35" s="124">
        <f t="shared" si="0"/>
        <v>0</v>
      </c>
      <c r="BI35" s="124">
        <f t="shared" si="1"/>
        <v>0</v>
      </c>
      <c r="BJ35" s="124">
        <f t="shared" si="2"/>
        <v>0</v>
      </c>
      <c r="BK35" s="120">
        <f>'1. OŽ'!H54</f>
        <v>0</v>
      </c>
      <c r="BM35" s="120">
        <f>'2. ŽO osim OŽ'!H54</f>
        <v>0</v>
      </c>
      <c r="BO35" s="120">
        <f>'3. ŽO zbirno'!H54</f>
        <v>0</v>
      </c>
      <c r="BQ35" s="120">
        <f>'4. N i DZ'!H54</f>
        <v>0</v>
      </c>
      <c r="BS35" s="120">
        <f>'5. MV'!H54</f>
        <v>0</v>
      </c>
      <c r="BU35" s="120">
        <f>'6. PO i TR'!H54</f>
        <v>0</v>
      </c>
      <c r="BW35" s="120">
        <f>'7. VAZ'!H54</f>
        <v>2440</v>
      </c>
      <c r="BY35" s="120">
        <f>'8. IMOV'!H54</f>
        <v>179202</v>
      </c>
      <c r="CA35" s="120">
        <f>'9. ODG.'!H54</f>
        <v>10927</v>
      </c>
      <c r="CC35" s="120">
        <f>'10.KJ'!H54</f>
        <v>0</v>
      </c>
      <c r="CE35" s="120">
        <f>'11. OST.'!H54</f>
        <v>0</v>
      </c>
      <c r="CG35" s="120">
        <f>'12. NZZ'!H54</f>
        <v>0</v>
      </c>
      <c r="CI35" s="120">
        <f>'13. ukupno'!H54</f>
        <v>207227</v>
      </c>
      <c r="CJ35" s="124">
        <f t="shared" si="3"/>
        <v>14658</v>
      </c>
      <c r="CK35" s="124">
        <f t="shared" si="4"/>
        <v>207227</v>
      </c>
    </row>
    <row r="36" spans="1:89" ht="34.5" thickBot="1">
      <c r="B36" s="121" t="s">
        <v>412</v>
      </c>
      <c r="C36" s="174" t="s">
        <v>394</v>
      </c>
      <c r="D36" s="171"/>
      <c r="E36" s="172">
        <f>E28+E30+E31+E32+E33+E34+E35</f>
        <v>-227274</v>
      </c>
      <c r="F36" s="171"/>
      <c r="G36" s="170">
        <f>G28+G30+G31+G32+G33+G34+G35</f>
        <v>34451</v>
      </c>
      <c r="H36" s="171"/>
      <c r="I36" s="172">
        <f>I28+I30+I31+I32+I33+I34+I35</f>
        <v>-192823</v>
      </c>
      <c r="J36" s="171"/>
      <c r="K36" s="170">
        <f>K28+K30+K31+K32+K33+K34+K35</f>
        <v>-183747</v>
      </c>
      <c r="L36" s="171"/>
      <c r="M36" s="172">
        <f>M28+M30+M31+M32+M33+M34+M35</f>
        <v>-407326</v>
      </c>
      <c r="N36" s="171"/>
      <c r="O36" s="172">
        <f>O28+O30+O31+O32+O33+O34+O35</f>
        <v>88411</v>
      </c>
      <c r="P36" s="171"/>
      <c r="Q36" s="172">
        <f>Q28+Q30+Q31+Q32+Q33+Q34+Q35</f>
        <v>17995</v>
      </c>
      <c r="R36" s="171"/>
      <c r="S36" s="172">
        <f>S28+S30+S31+S32+S33+S34+S35</f>
        <v>-71695</v>
      </c>
      <c r="T36" s="171"/>
      <c r="U36" s="170">
        <f>U28+U30+U31+U32+U33+U34+U35</f>
        <v>1041358</v>
      </c>
      <c r="V36" s="173"/>
      <c r="W36" s="172">
        <f>W28+W30+W31+W32+W33+W34+W35</f>
        <v>238</v>
      </c>
      <c r="X36" s="173"/>
      <c r="Y36" s="170">
        <f>Y28+Y30+Y31+Y32+Y33+Y34+Y35</f>
        <v>40441</v>
      </c>
      <c r="Z36" s="173"/>
      <c r="AA36" s="170">
        <f>AA28+AA30+AA31+AA32+AA33+AA34+AA35</f>
        <v>525675</v>
      </c>
      <c r="AB36" s="173"/>
      <c r="AC36" s="172">
        <f>AC28+AC30+AC31+AC32+AC33+AC34+AC35</f>
        <v>332852</v>
      </c>
      <c r="AD36" s="111" t="s">
        <v>339</v>
      </c>
      <c r="AE36" s="124">
        <f>AC36-BG97+BG98</f>
        <v>0</v>
      </c>
      <c r="AG36" s="85" t="s">
        <v>297</v>
      </c>
      <c r="AH36" s="255">
        <v>1034</v>
      </c>
      <c r="AI36" s="219">
        <f>'1. OŽ'!G55</f>
        <v>0</v>
      </c>
      <c r="AK36" s="219">
        <f>'2. ŽO osim OŽ'!G55</f>
        <v>0</v>
      </c>
      <c r="AM36" s="219">
        <f>'3. ŽO zbirno'!G55</f>
        <v>0</v>
      </c>
      <c r="AO36" s="219">
        <f>'4. N i DZ'!G55</f>
        <v>49637</v>
      </c>
      <c r="AQ36" s="219">
        <f>'5. MV'!G55</f>
        <v>0</v>
      </c>
      <c r="AS36" s="219">
        <f>'6. PO i TR'!G55</f>
        <v>6037</v>
      </c>
      <c r="AU36" s="219">
        <f>'7. VAZ'!G55</f>
        <v>0</v>
      </c>
      <c r="AW36" s="219">
        <f>'8. IMOV'!G55</f>
        <v>382671</v>
      </c>
      <c r="AY36" s="219">
        <f>'9. ODG.'!G55</f>
        <v>1401710</v>
      </c>
      <c r="BA36" s="219">
        <f>'10.KJ'!G55</f>
        <v>5508</v>
      </c>
      <c r="BC36" s="219">
        <f>'11. OST.'!G55</f>
        <v>22242</v>
      </c>
      <c r="BE36" s="219">
        <f>'12. NZZ'!G55</f>
        <v>1829673</v>
      </c>
      <c r="BG36" s="219">
        <f>'13. ukupno'!G55</f>
        <v>1826430</v>
      </c>
      <c r="BH36" s="124">
        <f t="shared" si="0"/>
        <v>0</v>
      </c>
      <c r="BI36" s="124">
        <f t="shared" si="1"/>
        <v>-38132</v>
      </c>
      <c r="BJ36" s="124">
        <f t="shared" si="2"/>
        <v>-3243</v>
      </c>
      <c r="BK36" s="120">
        <f>'1. OŽ'!H55</f>
        <v>0</v>
      </c>
      <c r="BM36" s="120">
        <f>'2. ŽO osim OŽ'!H55</f>
        <v>0</v>
      </c>
      <c r="BO36" s="120">
        <f>'3. ŽO zbirno'!H55</f>
        <v>0</v>
      </c>
      <c r="BQ36" s="120">
        <f>'4. N i DZ'!H55</f>
        <v>0</v>
      </c>
      <c r="BS36" s="120">
        <f>'5. MV'!H55</f>
        <v>0</v>
      </c>
      <c r="BU36" s="120">
        <f>'6. PO i TR'!H55</f>
        <v>0</v>
      </c>
      <c r="BW36" s="120">
        <f>'7. VAZ'!H55</f>
        <v>18156</v>
      </c>
      <c r="BY36" s="120">
        <f>'8. IMOV'!H55</f>
        <v>83226</v>
      </c>
      <c r="CA36" s="120">
        <f>'9. ODG.'!H55</f>
        <v>0</v>
      </c>
      <c r="CC36" s="120">
        <f>'10.KJ'!H55</f>
        <v>0</v>
      </c>
      <c r="CE36" s="120">
        <f>'11. OST.'!H55</f>
        <v>0</v>
      </c>
      <c r="CG36" s="120">
        <f>'12. NZZ'!H55</f>
        <v>0</v>
      </c>
      <c r="CI36" s="120">
        <f>'13. ukupno'!H55</f>
        <v>0</v>
      </c>
      <c r="CJ36" s="124">
        <f t="shared" si="3"/>
        <v>-101382</v>
      </c>
      <c r="CK36" s="124">
        <f t="shared" si="4"/>
        <v>0</v>
      </c>
    </row>
    <row r="37" spans="1:89" ht="21.75" customHeight="1" thickTop="1">
      <c r="A37" s="117">
        <v>1096</v>
      </c>
      <c r="B37" s="121">
        <v>1097</v>
      </c>
      <c r="C37" s="139" t="s">
        <v>338</v>
      </c>
      <c r="D37" s="160"/>
      <c r="E37" s="144">
        <f>VLOOKUP($A37,$AH:$CI,2,FALSE)-VLOOKUP($B37,$AH:$CI,2,FALSE)</f>
        <v>-40</v>
      </c>
      <c r="F37" s="155"/>
      <c r="G37" s="183">
        <f>VLOOKUP($A37,$AH:$CI,4,FALSE)-VLOOKUP($B37,$AH:$CI,4,FALSE)</f>
        <v>5</v>
      </c>
      <c r="H37" s="155"/>
      <c r="I37" s="144">
        <f>VLOOKUP($A37,$AH:$CI,6,FALSE)-VLOOKUP($B37,$AH:$CI,6,FALSE)</f>
        <v>-35</v>
      </c>
      <c r="J37" s="155"/>
      <c r="K37" s="183">
        <f>VLOOKUP($A37,$AH:$CI,8,FALSE)-VLOOKUP($B37,$AH:$CI,8,FALSE)</f>
        <v>-182</v>
      </c>
      <c r="L37" s="155"/>
      <c r="M37" s="144">
        <f>VLOOKUP($A37,$AH:$CI,10,FALSE)-VLOOKUP($B37,$AH:$CI,10,FALSE)</f>
        <v>-193</v>
      </c>
      <c r="N37" s="155"/>
      <c r="O37" s="144">
        <f>VLOOKUP($A37,$AH:$CI,12,FALSE)-VLOOKUP($B37,$AH:$CI,12,FALSE)</f>
        <v>-143</v>
      </c>
      <c r="P37" s="155"/>
      <c r="Q37" s="144">
        <f>VLOOKUP($A37,$AH:$CI,14,FALSE)-VLOOKUP($B37,$AH:$CI,14,FALSE)</f>
        <v>-3</v>
      </c>
      <c r="R37" s="155"/>
      <c r="S37" s="144">
        <f>VLOOKUP($A37,$AH:$CI,16,FALSE)-VLOOKUP($B37,$AH:$CI,16,FALSE)</f>
        <v>-3550</v>
      </c>
      <c r="T37" s="155"/>
      <c r="U37" s="183">
        <f>VLOOKUP($A37,$AH:$CI,18,FALSE)-VLOOKUP($B37,$AH:$CI,18,FALSE)</f>
        <v>-1028</v>
      </c>
      <c r="V37" s="155"/>
      <c r="W37" s="183">
        <f>VLOOKUP($A37,$AH:$CI,20,FALSE)-VLOOKUP($B37,$AH:$CI,20,FALSE)</f>
        <v>1</v>
      </c>
      <c r="X37" s="155"/>
      <c r="Y37" s="144">
        <f>VLOOKUP($A37,$AH:$CI,22,FALSE)-VLOOKUP($B37,$AH:$CI,22,FALSE)</f>
        <v>14</v>
      </c>
      <c r="Z37" s="155"/>
      <c r="AA37" s="144">
        <f>VLOOKUP($A37,$AH:$CI,24,FALSE)-VLOOKUP($B37,$AH:$CI,24,FALSE)</f>
        <v>-5084</v>
      </c>
      <c r="AB37" s="155"/>
      <c r="AC37" s="183">
        <f>VLOOKUP($A37,$AH:$CI,26,FALSE)-VLOOKUP($B37,$AH:$CI,26,FALSE)</f>
        <v>-5119</v>
      </c>
      <c r="AD37" s="110" t="s">
        <v>337</v>
      </c>
      <c r="AE37" s="124">
        <f>AC37-BG99+BG100</f>
        <v>0</v>
      </c>
      <c r="AG37" s="85" t="s">
        <v>298</v>
      </c>
      <c r="AH37" s="257">
        <v>1035</v>
      </c>
      <c r="AI37" s="221">
        <f>'1. OŽ'!G56</f>
        <v>2639</v>
      </c>
      <c r="AK37" s="221">
        <f>'2. ŽO osim OŽ'!G56</f>
        <v>604</v>
      </c>
      <c r="AM37" s="221">
        <f>'3. ŽO zbirno'!G56</f>
        <v>3243</v>
      </c>
      <c r="AO37" s="221">
        <f>'4. N i DZ'!G56</f>
        <v>0</v>
      </c>
      <c r="AQ37" s="221">
        <f>'5. MV'!G56</f>
        <v>8325</v>
      </c>
      <c r="AS37" s="221">
        <f>'6. PO i TR'!G56</f>
        <v>0</v>
      </c>
      <c r="AU37" s="221">
        <f>'7. VAZ'!G56</f>
        <v>29807</v>
      </c>
      <c r="AW37" s="221">
        <f>'8. IMOV'!G56</f>
        <v>0</v>
      </c>
      <c r="AY37" s="221">
        <f>'9. ODG.'!G56</f>
        <v>0</v>
      </c>
      <c r="BA37" s="221">
        <f>'10.KJ'!G56</f>
        <v>0</v>
      </c>
      <c r="BC37" s="221">
        <f>'11. OST.'!G56</f>
        <v>0</v>
      </c>
      <c r="BE37" s="221">
        <f>'12. NZZ'!G56</f>
        <v>0</v>
      </c>
      <c r="BG37" s="221">
        <f>'13. ukupno'!G56</f>
        <v>0</v>
      </c>
      <c r="BH37" s="124">
        <f t="shared" si="0"/>
        <v>0</v>
      </c>
      <c r="BI37" s="124">
        <f t="shared" si="1"/>
        <v>-38132</v>
      </c>
      <c r="BJ37" s="124">
        <f t="shared" si="2"/>
        <v>-3243</v>
      </c>
      <c r="BK37" s="120">
        <f>'1. OŽ'!H56</f>
        <v>0</v>
      </c>
      <c r="BM37" s="120">
        <f>'2. ŽO osim OŽ'!H56</f>
        <v>0</v>
      </c>
      <c r="BO37" s="120">
        <f>'3. ŽO zbirno'!H56</f>
        <v>0</v>
      </c>
      <c r="BQ37" s="120">
        <f>'4. N i DZ'!H56</f>
        <v>8952</v>
      </c>
      <c r="BS37" s="120">
        <f>'5. MV'!H56</f>
        <v>0</v>
      </c>
      <c r="BU37" s="120">
        <f>'6. PO i TR'!H56</f>
        <v>0</v>
      </c>
      <c r="BW37" s="120">
        <f>'7. VAZ'!H56</f>
        <v>0</v>
      </c>
      <c r="BY37" s="120">
        <f>'8. IMOV'!H56</f>
        <v>0</v>
      </c>
      <c r="CA37" s="120">
        <f>'9. ODG.'!H56</f>
        <v>243624</v>
      </c>
      <c r="CC37" s="120">
        <f>'10.KJ'!H56</f>
        <v>0</v>
      </c>
      <c r="CE37" s="120">
        <f>'11. OST.'!H56</f>
        <v>933</v>
      </c>
      <c r="CG37" s="120">
        <f>'12. NZZ'!H56</f>
        <v>0</v>
      </c>
      <c r="CI37" s="120">
        <f>'13. ukupno'!H56</f>
        <v>139421</v>
      </c>
      <c r="CJ37" s="124">
        <f t="shared" si="3"/>
        <v>-114088</v>
      </c>
      <c r="CK37" s="124">
        <f t="shared" si="4"/>
        <v>139421</v>
      </c>
    </row>
    <row r="38" spans="1:89" ht="26.25" thickBot="1">
      <c r="B38" s="121" t="s">
        <v>335</v>
      </c>
      <c r="C38" s="139" t="s">
        <v>336</v>
      </c>
      <c r="D38" s="161"/>
      <c r="E38" s="182">
        <f>E36+E37</f>
        <v>-227314</v>
      </c>
      <c r="F38" s="161">
        <f t="shared" ref="F38:AC38" si="5">F36+F37</f>
        <v>0</v>
      </c>
      <c r="G38" s="162">
        <f t="shared" si="5"/>
        <v>34456</v>
      </c>
      <c r="H38" s="161">
        <f t="shared" si="5"/>
        <v>0</v>
      </c>
      <c r="I38" s="182">
        <f t="shared" si="5"/>
        <v>-192858</v>
      </c>
      <c r="J38" s="161">
        <f t="shared" si="5"/>
        <v>0</v>
      </c>
      <c r="K38" s="162">
        <f t="shared" si="5"/>
        <v>-183929</v>
      </c>
      <c r="L38" s="161">
        <f t="shared" si="5"/>
        <v>0</v>
      </c>
      <c r="M38" s="182">
        <f t="shared" si="5"/>
        <v>-407519</v>
      </c>
      <c r="N38" s="161">
        <f t="shared" si="5"/>
        <v>0</v>
      </c>
      <c r="O38" s="182">
        <f t="shared" si="5"/>
        <v>88268</v>
      </c>
      <c r="P38" s="161">
        <f t="shared" si="5"/>
        <v>0</v>
      </c>
      <c r="Q38" s="182">
        <f t="shared" si="5"/>
        <v>17992</v>
      </c>
      <c r="R38" s="161">
        <f t="shared" si="5"/>
        <v>0</v>
      </c>
      <c r="S38" s="182">
        <f t="shared" si="5"/>
        <v>-75245</v>
      </c>
      <c r="T38" s="161">
        <f t="shared" si="5"/>
        <v>0</v>
      </c>
      <c r="U38" s="162">
        <f t="shared" si="5"/>
        <v>1040330</v>
      </c>
      <c r="V38" s="161">
        <f t="shared" si="5"/>
        <v>0</v>
      </c>
      <c r="W38" s="162">
        <f t="shared" si="5"/>
        <v>239</v>
      </c>
      <c r="X38" s="161">
        <f t="shared" si="5"/>
        <v>0</v>
      </c>
      <c r="Y38" s="182">
        <f t="shared" si="5"/>
        <v>40455</v>
      </c>
      <c r="Z38" s="161">
        <f t="shared" si="5"/>
        <v>0</v>
      </c>
      <c r="AA38" s="182">
        <f t="shared" si="5"/>
        <v>520591</v>
      </c>
      <c r="AB38" s="161">
        <f t="shared" si="5"/>
        <v>0</v>
      </c>
      <c r="AC38" s="162">
        <f t="shared" si="5"/>
        <v>327733</v>
      </c>
      <c r="AD38" s="110" t="s">
        <v>335</v>
      </c>
      <c r="AE38" s="124">
        <f>AC38-BG101+BG102</f>
        <v>0</v>
      </c>
      <c r="AG38" s="39" t="s">
        <v>158</v>
      </c>
      <c r="AH38" s="256">
        <v>1036</v>
      </c>
      <c r="AI38" s="220">
        <f>'1. OŽ'!G57</f>
        <v>1529</v>
      </c>
      <c r="AK38" s="220">
        <f>'2. ŽO osim OŽ'!G57</f>
        <v>4327</v>
      </c>
      <c r="AM38" s="220">
        <f>'3. ŽO zbirno'!G57</f>
        <v>5856</v>
      </c>
      <c r="AO38" s="220">
        <f>'4. N i DZ'!G57</f>
        <v>0</v>
      </c>
      <c r="AQ38" s="220">
        <f>'5. MV'!G57</f>
        <v>0</v>
      </c>
      <c r="AS38" s="220">
        <f>'6. PO i TR'!G57</f>
        <v>0</v>
      </c>
      <c r="AU38" s="220">
        <f>'7. VAZ'!G57</f>
        <v>0</v>
      </c>
      <c r="AW38" s="220">
        <f>'8. IMOV'!G57</f>
        <v>0</v>
      </c>
      <c r="AY38" s="220">
        <f>'9. ODG.'!G57</f>
        <v>0</v>
      </c>
      <c r="BA38" s="220">
        <f>'10.KJ'!G57</f>
        <v>0</v>
      </c>
      <c r="BC38" s="220">
        <f>'11. OST.'!G57</f>
        <v>0</v>
      </c>
      <c r="BE38" s="220">
        <f>'12. NZZ'!G57</f>
        <v>0</v>
      </c>
      <c r="BG38" s="220">
        <f>'13. ukupno'!G57</f>
        <v>5856</v>
      </c>
      <c r="BH38" s="124">
        <f t="shared" si="0"/>
        <v>0</v>
      </c>
      <c r="BI38" s="124">
        <f t="shared" si="1"/>
        <v>0</v>
      </c>
      <c r="BJ38" s="124">
        <f t="shared" si="2"/>
        <v>0</v>
      </c>
      <c r="BK38" s="120">
        <f>'1. OŽ'!H57</f>
        <v>0</v>
      </c>
      <c r="BM38" s="120">
        <f>'2. ŽO osim OŽ'!H57</f>
        <v>0</v>
      </c>
      <c r="BO38" s="120">
        <f>'3. ŽO zbirno'!H57</f>
        <v>0</v>
      </c>
      <c r="BQ38" s="120">
        <f>'4. N i DZ'!H57</f>
        <v>0</v>
      </c>
      <c r="BS38" s="120">
        <f>'5. MV'!H57</f>
        <v>0</v>
      </c>
      <c r="BU38" s="120">
        <f>'6. PO i TR'!H57</f>
        <v>0</v>
      </c>
      <c r="BW38" s="120">
        <f>'7. VAZ'!H57</f>
        <v>0</v>
      </c>
      <c r="BY38" s="120">
        <f>'8. IMOV'!H57</f>
        <v>0</v>
      </c>
      <c r="CA38" s="120">
        <f>'9. ODG.'!H57</f>
        <v>0</v>
      </c>
      <c r="CC38" s="120">
        <f>'10.KJ'!H57</f>
        <v>0</v>
      </c>
      <c r="CE38" s="120">
        <f>'11. OST.'!H57</f>
        <v>0</v>
      </c>
      <c r="CG38" s="120">
        <f>'12. NZZ'!H57</f>
        <v>0</v>
      </c>
      <c r="CI38" s="120">
        <f>'13. ukupno'!H57</f>
        <v>10554</v>
      </c>
      <c r="CJ38" s="124">
        <f t="shared" si="3"/>
        <v>10554</v>
      </c>
      <c r="CK38" s="124">
        <f t="shared" si="4"/>
        <v>10554</v>
      </c>
    </row>
    <row r="39" spans="1:89" ht="13.5" thickTop="1">
      <c r="E39" s="128">
        <f>E38+AI102-AI101</f>
        <v>0</v>
      </c>
      <c r="F39" s="128">
        <f t="shared" ref="F39:AC39" si="6">F38+AJ102-AJ101</f>
        <v>0</v>
      </c>
      <c r="G39" s="128">
        <f t="shared" si="6"/>
        <v>0</v>
      </c>
      <c r="H39" s="128">
        <f t="shared" si="6"/>
        <v>0</v>
      </c>
      <c r="I39" s="128">
        <f t="shared" si="6"/>
        <v>0</v>
      </c>
      <c r="J39" s="128">
        <f t="shared" si="6"/>
        <v>0</v>
      </c>
      <c r="K39" s="128">
        <f t="shared" si="6"/>
        <v>0</v>
      </c>
      <c r="L39" s="128">
        <f t="shared" si="6"/>
        <v>0</v>
      </c>
      <c r="M39" s="128">
        <f t="shared" si="6"/>
        <v>0</v>
      </c>
      <c r="N39" s="128">
        <f t="shared" si="6"/>
        <v>0</v>
      </c>
      <c r="O39" s="128">
        <f t="shared" si="6"/>
        <v>0</v>
      </c>
      <c r="P39" s="128">
        <f t="shared" si="6"/>
        <v>0</v>
      </c>
      <c r="Q39" s="128">
        <f t="shared" si="6"/>
        <v>0</v>
      </c>
      <c r="R39" s="128">
        <f t="shared" si="6"/>
        <v>0</v>
      </c>
      <c r="S39" s="128">
        <f t="shared" si="6"/>
        <v>0</v>
      </c>
      <c r="T39" s="128">
        <f t="shared" si="6"/>
        <v>0</v>
      </c>
      <c r="U39" s="128">
        <f t="shared" si="6"/>
        <v>0</v>
      </c>
      <c r="V39" s="128">
        <f t="shared" si="6"/>
        <v>0</v>
      </c>
      <c r="W39" s="128">
        <f t="shared" si="6"/>
        <v>0</v>
      </c>
      <c r="X39" s="128">
        <f t="shared" si="6"/>
        <v>0</v>
      </c>
      <c r="Y39" s="128">
        <f t="shared" si="6"/>
        <v>0</v>
      </c>
      <c r="Z39" s="128">
        <f t="shared" si="6"/>
        <v>0</v>
      </c>
      <c r="AA39" s="128">
        <f t="shared" si="6"/>
        <v>0</v>
      </c>
      <c r="AB39" s="128">
        <f t="shared" si="6"/>
        <v>0</v>
      </c>
      <c r="AC39" s="128">
        <f t="shared" si="6"/>
        <v>0</v>
      </c>
      <c r="AE39" s="124"/>
      <c r="AG39" s="39" t="s">
        <v>159</v>
      </c>
      <c r="AH39" s="256">
        <v>1037</v>
      </c>
      <c r="AI39" s="220">
        <f>'1. OŽ'!G58</f>
        <v>4168</v>
      </c>
      <c r="AK39" s="220">
        <f>'2. ŽO osim OŽ'!G58</f>
        <v>4931</v>
      </c>
      <c r="AM39" s="220">
        <f>'3. ŽO zbirno'!G58</f>
        <v>9099</v>
      </c>
      <c r="AO39" s="220">
        <f>'4. N i DZ'!G58</f>
        <v>0</v>
      </c>
      <c r="AQ39" s="220">
        <f>'5. MV'!G58</f>
        <v>0</v>
      </c>
      <c r="AS39" s="220">
        <f>'6. PO i TR'!G58</f>
        <v>0</v>
      </c>
      <c r="AU39" s="220">
        <f>'7. VAZ'!G58</f>
        <v>0</v>
      </c>
      <c r="AW39" s="220">
        <f>'8. IMOV'!G58</f>
        <v>0</v>
      </c>
      <c r="AY39" s="220">
        <f>'9. ODG.'!G58</f>
        <v>0</v>
      </c>
      <c r="BA39" s="220">
        <f>'10.KJ'!G58</f>
        <v>0</v>
      </c>
      <c r="BC39" s="220">
        <f>'11. OST.'!G58</f>
        <v>0</v>
      </c>
      <c r="BE39" s="220">
        <f>'12. NZZ'!G58</f>
        <v>0</v>
      </c>
      <c r="BG39" s="220">
        <f>'13. ukupno'!G58</f>
        <v>9099</v>
      </c>
      <c r="BH39" s="124">
        <f t="shared" si="0"/>
        <v>0</v>
      </c>
      <c r="BI39" s="124">
        <f t="shared" si="1"/>
        <v>0</v>
      </c>
      <c r="BJ39" s="124">
        <f t="shared" si="2"/>
        <v>0</v>
      </c>
      <c r="BK39" s="120">
        <f>'1. OŽ'!H58</f>
        <v>0</v>
      </c>
      <c r="BM39" s="120">
        <f>'2. ŽO osim OŽ'!H58</f>
        <v>0</v>
      </c>
      <c r="BO39" s="120">
        <f>'3. ŽO zbirno'!H58</f>
        <v>0</v>
      </c>
      <c r="BQ39" s="120">
        <f>'4. N i DZ'!H58</f>
        <v>0</v>
      </c>
      <c r="BS39" s="120">
        <f>'5. MV'!H58</f>
        <v>0</v>
      </c>
      <c r="BU39" s="120">
        <f>'6. PO i TR'!H58</f>
        <v>0</v>
      </c>
      <c r="BW39" s="120">
        <f>'7. VAZ'!H58</f>
        <v>0</v>
      </c>
      <c r="BY39" s="120">
        <f>'8. IMOV'!H58</f>
        <v>0</v>
      </c>
      <c r="CA39" s="120">
        <f>'9. ODG.'!H58</f>
        <v>0</v>
      </c>
      <c r="CC39" s="120">
        <f>'10.KJ'!H58</f>
        <v>0</v>
      </c>
      <c r="CE39" s="120">
        <f>'11. OST.'!H58</f>
        <v>0</v>
      </c>
      <c r="CG39" s="120">
        <f>'12. NZZ'!H58</f>
        <v>0</v>
      </c>
      <c r="CI39" s="120">
        <f>'13. ukupno'!H58</f>
        <v>6272</v>
      </c>
      <c r="CJ39" s="124">
        <f t="shared" si="3"/>
        <v>6272</v>
      </c>
      <c r="CK39" s="124">
        <f t="shared" si="4"/>
        <v>6272</v>
      </c>
    </row>
    <row r="40" spans="1:89" ht="25.5">
      <c r="C40" s="130"/>
      <c r="E40" s="128"/>
      <c r="F40" s="178"/>
      <c r="G40" s="128"/>
      <c r="H40" s="178"/>
      <c r="I40" s="128"/>
      <c r="J40" s="178"/>
      <c r="K40" s="128"/>
      <c r="L40" s="178"/>
      <c r="M40" s="128"/>
      <c r="N40" s="178"/>
      <c r="O40" s="128"/>
      <c r="P40" s="178"/>
      <c r="Q40" s="128"/>
      <c r="R40" s="178"/>
      <c r="S40" s="128"/>
      <c r="T40" s="178"/>
      <c r="U40" s="128"/>
      <c r="V40" s="178"/>
      <c r="W40" s="128"/>
      <c r="X40" s="178"/>
      <c r="Y40" s="128"/>
      <c r="Z40" s="178"/>
      <c r="AA40" s="128"/>
      <c r="AB40" s="178"/>
      <c r="AC40" s="128"/>
      <c r="AE40" s="124"/>
      <c r="AG40" s="39" t="s">
        <v>160</v>
      </c>
      <c r="AH40" s="256">
        <v>1038</v>
      </c>
      <c r="AI40" s="220">
        <f>'1. OŽ'!G59</f>
        <v>0</v>
      </c>
      <c r="AK40" s="220">
        <f>'2. ŽO osim OŽ'!G59</f>
        <v>0</v>
      </c>
      <c r="AM40" s="220">
        <f>'3. ŽO zbirno'!G59</f>
        <v>0</v>
      </c>
      <c r="AO40" s="220">
        <f>'4. N i DZ'!G59</f>
        <v>142871</v>
      </c>
      <c r="AQ40" s="220">
        <f>'5. MV'!G59</f>
        <v>117289</v>
      </c>
      <c r="AS40" s="220">
        <f>'6. PO i TR'!G59</f>
        <v>32127</v>
      </c>
      <c r="AU40" s="220">
        <f>'7. VAZ'!G59</f>
        <v>87586</v>
      </c>
      <c r="AW40" s="220">
        <f>'8. IMOV'!G59</f>
        <v>1426488</v>
      </c>
      <c r="AY40" s="220">
        <f>'9. ODG.'!G59</f>
        <v>2061832</v>
      </c>
      <c r="BA40" s="220">
        <f>'10.KJ'!G59</f>
        <v>6669</v>
      </c>
      <c r="BC40" s="220">
        <f>'11. OST.'!G59</f>
        <v>33355</v>
      </c>
      <c r="BE40" s="220">
        <f>'12. NZZ'!G59</f>
        <v>3908217</v>
      </c>
      <c r="BG40" s="220">
        <f>'13. ukupno'!G59</f>
        <v>3908217</v>
      </c>
      <c r="BH40" s="124">
        <f t="shared" si="0"/>
        <v>0</v>
      </c>
      <c r="BI40" s="124">
        <f t="shared" si="1"/>
        <v>0</v>
      </c>
      <c r="BJ40" s="124">
        <f t="shared" si="2"/>
        <v>0</v>
      </c>
      <c r="BK40" s="120">
        <f>'1. OŽ'!H59</f>
        <v>0</v>
      </c>
      <c r="BM40" s="120">
        <f>'2. ŽO osim OŽ'!H59</f>
        <v>0</v>
      </c>
      <c r="BO40" s="120">
        <f>'3. ŽO zbirno'!H59</f>
        <v>0</v>
      </c>
      <c r="BQ40" s="120">
        <f>'4. N i DZ'!H59</f>
        <v>74302</v>
      </c>
      <c r="BS40" s="120">
        <f>'5. MV'!H59</f>
        <v>0</v>
      </c>
      <c r="BU40" s="120">
        <f>'6. PO i TR'!H59</f>
        <v>0</v>
      </c>
      <c r="BW40" s="120">
        <f>'7. VAZ'!H59</f>
        <v>71444</v>
      </c>
      <c r="BY40" s="120">
        <f>'8. IMOV'!H59</f>
        <v>1324911</v>
      </c>
      <c r="CA40" s="120">
        <f>'9. ODG.'!H59</f>
        <v>635685</v>
      </c>
      <c r="CC40" s="120">
        <f>'10.KJ'!H59</f>
        <v>0</v>
      </c>
      <c r="CE40" s="120">
        <f>'11. OST.'!H59</f>
        <v>12977</v>
      </c>
      <c r="CG40" s="120">
        <f>'12. NZZ'!H59</f>
        <v>0</v>
      </c>
      <c r="CI40" s="120">
        <f>'13. ukupno'!H59</f>
        <v>2301977</v>
      </c>
      <c r="CJ40" s="124">
        <f t="shared" si="3"/>
        <v>182658</v>
      </c>
      <c r="CK40" s="124">
        <f t="shared" si="4"/>
        <v>2301977</v>
      </c>
    </row>
    <row r="41" spans="1:89" s="127" customFormat="1" ht="25.5">
      <c r="B41" s="125"/>
      <c r="C41" s="129" t="s">
        <v>393</v>
      </c>
      <c r="D41" s="175"/>
      <c r="E41" s="129"/>
      <c r="F41" s="175"/>
      <c r="G41" s="129"/>
      <c r="H41" s="175"/>
      <c r="I41" s="129"/>
      <c r="J41" s="175"/>
      <c r="K41" s="129"/>
      <c r="L41" s="175"/>
      <c r="M41" s="129"/>
      <c r="N41" s="175"/>
      <c r="O41" s="129"/>
      <c r="P41" s="175"/>
      <c r="Q41" s="129"/>
      <c r="R41" s="175"/>
      <c r="S41" s="129"/>
      <c r="T41" s="175"/>
      <c r="U41" s="129"/>
      <c r="V41" s="175"/>
      <c r="W41" s="129"/>
      <c r="X41" s="175"/>
      <c r="Y41" s="129"/>
      <c r="Z41" s="175"/>
      <c r="AA41" s="129"/>
      <c r="AB41" s="175"/>
      <c r="AC41" s="129"/>
      <c r="AD41" s="126"/>
      <c r="AE41" s="124"/>
      <c r="AG41" s="39" t="s">
        <v>161</v>
      </c>
      <c r="AH41" s="256">
        <v>1039</v>
      </c>
      <c r="AI41" s="220">
        <f>'1. OŽ'!G60</f>
        <v>0</v>
      </c>
      <c r="AJ41" s="117"/>
      <c r="AK41" s="220">
        <f>'2. ŽO osim OŽ'!G60</f>
        <v>0</v>
      </c>
      <c r="AL41" s="117"/>
      <c r="AM41" s="220">
        <f>'3. ŽO zbirno'!G60</f>
        <v>0</v>
      </c>
      <c r="AN41" s="117"/>
      <c r="AO41" s="220">
        <f>'4. N i DZ'!G60</f>
        <v>92657</v>
      </c>
      <c r="AP41" s="117"/>
      <c r="AQ41" s="220">
        <f>'5. MV'!G60</f>
        <v>128886</v>
      </c>
      <c r="AR41" s="117"/>
      <c r="AS41" s="220">
        <f>'6. PO i TR'!G60</f>
        <v>26090</v>
      </c>
      <c r="AT41" s="117"/>
      <c r="AU41" s="220">
        <f>'7. VAZ'!G60</f>
        <v>117393</v>
      </c>
      <c r="AV41" s="117"/>
      <c r="AW41" s="220">
        <f>'8. IMOV'!G60</f>
        <v>1031617</v>
      </c>
      <c r="AX41" s="117"/>
      <c r="AY41" s="220">
        <f>'9. ODG.'!G60</f>
        <v>660302</v>
      </c>
      <c r="AZ41" s="117"/>
      <c r="BA41" s="220">
        <f>'10.KJ'!G60</f>
        <v>1161</v>
      </c>
      <c r="BB41" s="117"/>
      <c r="BC41" s="220">
        <f>'11. OST.'!G60</f>
        <v>11113</v>
      </c>
      <c r="BD41" s="117"/>
      <c r="BE41" s="220">
        <f>'12. NZZ'!G60</f>
        <v>2069219</v>
      </c>
      <c r="BF41" s="117"/>
      <c r="BG41" s="220">
        <f>'13. ukupno'!G60</f>
        <v>2069219</v>
      </c>
      <c r="BH41" s="124">
        <f t="shared" si="0"/>
        <v>0</v>
      </c>
      <c r="BI41" s="124">
        <f t="shared" si="1"/>
        <v>0</v>
      </c>
      <c r="BJ41" s="124">
        <f t="shared" si="2"/>
        <v>0</v>
      </c>
      <c r="BK41" s="120">
        <f>'1. OŽ'!H60</f>
        <v>0</v>
      </c>
      <c r="BL41" s="117"/>
      <c r="BM41" s="120">
        <f>'2. ŽO osim OŽ'!H60</f>
        <v>0</v>
      </c>
      <c r="BN41" s="117"/>
      <c r="BO41" s="120">
        <f>'3. ŽO zbirno'!H60</f>
        <v>0</v>
      </c>
      <c r="BP41" s="117"/>
      <c r="BQ41" s="120">
        <f>'4. N i DZ'!H60</f>
        <v>84093</v>
      </c>
      <c r="BR41" s="117"/>
      <c r="BS41" s="120">
        <f>'5. MV'!H60</f>
        <v>0</v>
      </c>
      <c r="BT41" s="117"/>
      <c r="BU41" s="120">
        <f>'6. PO i TR'!H60</f>
        <v>0</v>
      </c>
      <c r="BV41" s="117"/>
      <c r="BW41" s="120">
        <f>'7. VAZ'!H60</f>
        <v>53288</v>
      </c>
      <c r="BX41" s="117"/>
      <c r="BY41" s="120">
        <f>'8. IMOV'!H60</f>
        <v>1254032</v>
      </c>
      <c r="BZ41" s="117"/>
      <c r="CA41" s="120">
        <f>'9. ODG.'!H60</f>
        <v>879469</v>
      </c>
      <c r="CB41" s="117"/>
      <c r="CC41" s="120">
        <f>'10.KJ'!H60</f>
        <v>0</v>
      </c>
      <c r="CD41" s="117"/>
      <c r="CE41" s="120">
        <f>'11. OST.'!H60</f>
        <v>13910</v>
      </c>
      <c r="CF41" s="117"/>
      <c r="CG41" s="120">
        <f>'12. NZZ'!H60</f>
        <v>0</v>
      </c>
      <c r="CH41" s="117"/>
      <c r="CI41" s="120">
        <f>'13. ukupno'!H60</f>
        <v>2459183</v>
      </c>
      <c r="CJ41" s="124">
        <f t="shared" si="3"/>
        <v>174391</v>
      </c>
      <c r="CK41" s="124">
        <f t="shared" si="4"/>
        <v>2459183</v>
      </c>
    </row>
    <row r="42" spans="1:89" ht="25.5">
      <c r="C42" s="130"/>
      <c r="AE42" s="124"/>
      <c r="AG42" s="39" t="s">
        <v>162</v>
      </c>
      <c r="AH42" s="256">
        <v>1040</v>
      </c>
      <c r="AI42" s="220">
        <f>'1. OŽ'!G61</f>
        <v>0</v>
      </c>
      <c r="AK42" s="220">
        <f>'2. ŽO osim OŽ'!G61</f>
        <v>0</v>
      </c>
      <c r="AM42" s="220">
        <f>'3. ŽO zbirno'!G61</f>
        <v>0</v>
      </c>
      <c r="AO42" s="220">
        <f>'4. N i DZ'!G61</f>
        <v>1478</v>
      </c>
      <c r="AQ42" s="220">
        <f>'5. MV'!G61</f>
        <v>3531</v>
      </c>
      <c r="AS42" s="220">
        <f>'6. PO i TR'!G61</f>
        <v>0</v>
      </c>
      <c r="AU42" s="220">
        <f>'7. VAZ'!G61</f>
        <v>0</v>
      </c>
      <c r="AW42" s="220">
        <f>'8. IMOV'!G61</f>
        <v>301</v>
      </c>
      <c r="AY42" s="220">
        <f>'9. ODG.'!G61</f>
        <v>254</v>
      </c>
      <c r="BA42" s="220">
        <f>'10.KJ'!G61</f>
        <v>0</v>
      </c>
      <c r="BC42" s="220">
        <f>'11. OST.'!G61</f>
        <v>0</v>
      </c>
      <c r="BE42" s="220">
        <f>'12. NZZ'!G61</f>
        <v>5564</v>
      </c>
      <c r="BG42" s="220">
        <f>'13. ukupno'!G61</f>
        <v>5564</v>
      </c>
      <c r="BH42" s="124">
        <f t="shared" si="0"/>
        <v>0</v>
      </c>
      <c r="BI42" s="124">
        <f t="shared" si="1"/>
        <v>0</v>
      </c>
      <c r="BJ42" s="124">
        <f t="shared" si="2"/>
        <v>0</v>
      </c>
      <c r="BK42" s="120">
        <f>'1. OŽ'!H61</f>
        <v>0</v>
      </c>
      <c r="BM42" s="120">
        <f>'2. ŽO osim OŽ'!H61</f>
        <v>0</v>
      </c>
      <c r="BO42" s="120">
        <f>'3. ŽO zbirno'!H61</f>
        <v>0</v>
      </c>
      <c r="BQ42" s="120">
        <f>'4. N i DZ'!H61</f>
        <v>894</v>
      </c>
      <c r="BS42" s="120">
        <f>'5. MV'!H61</f>
        <v>0</v>
      </c>
      <c r="BU42" s="120">
        <f>'6. PO i TR'!H61</f>
        <v>0</v>
      </c>
      <c r="BW42" s="120">
        <f>'7. VAZ'!H61</f>
        <v>0</v>
      </c>
      <c r="BY42" s="120">
        <f>'8. IMOV'!H61</f>
        <v>12500</v>
      </c>
      <c r="CA42" s="120">
        <f>'9. ODG.'!H61</f>
        <v>160</v>
      </c>
      <c r="CC42" s="120">
        <f>'10.KJ'!H61</f>
        <v>0</v>
      </c>
      <c r="CE42" s="120">
        <f>'11. OST.'!H61</f>
        <v>0</v>
      </c>
      <c r="CG42" s="120">
        <f>'12. NZZ'!H61</f>
        <v>0</v>
      </c>
      <c r="CI42" s="120">
        <f>'13. ukupno'!H61</f>
        <v>13787</v>
      </c>
      <c r="CJ42" s="124">
        <f t="shared" si="3"/>
        <v>233</v>
      </c>
      <c r="CK42" s="124">
        <f t="shared" si="4"/>
        <v>13787</v>
      </c>
    </row>
    <row r="43" spans="1:89" ht="60.75">
      <c r="C43" s="131"/>
      <c r="D43" s="176"/>
      <c r="E43" s="133" t="s">
        <v>397</v>
      </c>
      <c r="F43" s="134"/>
      <c r="G43" s="133" t="s">
        <v>398</v>
      </c>
      <c r="H43" s="134"/>
      <c r="I43" s="133" t="s">
        <v>407</v>
      </c>
      <c r="J43" s="134"/>
      <c r="K43" s="134" t="s">
        <v>399</v>
      </c>
      <c r="L43" s="134"/>
      <c r="M43" s="135" t="s">
        <v>400</v>
      </c>
      <c r="N43" s="134"/>
      <c r="O43" s="133" t="s">
        <v>401</v>
      </c>
      <c r="P43" s="134"/>
      <c r="Q43" s="133" t="s">
        <v>402</v>
      </c>
      <c r="R43" s="134"/>
      <c r="S43" s="134" t="s">
        <v>392</v>
      </c>
      <c r="T43" s="134"/>
      <c r="U43" s="134" t="s">
        <v>403</v>
      </c>
      <c r="V43" s="179"/>
      <c r="W43" s="134" t="s">
        <v>404</v>
      </c>
      <c r="X43" s="179"/>
      <c r="Y43" s="133" t="s">
        <v>405</v>
      </c>
      <c r="Z43" s="179"/>
      <c r="AA43" s="134" t="s">
        <v>406</v>
      </c>
      <c r="AB43" s="179"/>
      <c r="AC43" s="133" t="s">
        <v>408</v>
      </c>
      <c r="AE43" s="124"/>
      <c r="AG43" s="39" t="s">
        <v>163</v>
      </c>
      <c r="AH43" s="256">
        <v>1041</v>
      </c>
      <c r="AI43" s="220">
        <f>'1. OŽ'!G62</f>
        <v>0</v>
      </c>
      <c r="AK43" s="220">
        <f>'2. ŽO osim OŽ'!G62</f>
        <v>0</v>
      </c>
      <c r="AM43" s="220">
        <f>'3. ŽO zbirno'!G62</f>
        <v>0</v>
      </c>
      <c r="AO43" s="220">
        <f>'4. N i DZ'!G62</f>
        <v>2055</v>
      </c>
      <c r="AQ43" s="220">
        <f>'5. MV'!G62</f>
        <v>259</v>
      </c>
      <c r="AS43" s="220">
        <f>'6. PO i TR'!G62</f>
        <v>0</v>
      </c>
      <c r="AU43" s="220">
        <f>'7. VAZ'!G62</f>
        <v>0</v>
      </c>
      <c r="AW43" s="220">
        <f>'8. IMOV'!G62</f>
        <v>12501</v>
      </c>
      <c r="AY43" s="220">
        <f>'9. ODG.'!G62</f>
        <v>74</v>
      </c>
      <c r="BA43" s="220">
        <f>'10.KJ'!G62</f>
        <v>0</v>
      </c>
      <c r="BC43" s="220">
        <f>'11. OST.'!G62</f>
        <v>0</v>
      </c>
      <c r="BE43" s="220">
        <f>'12. NZZ'!G62</f>
        <v>14889</v>
      </c>
      <c r="BG43" s="220">
        <f>'13. ukupno'!G62</f>
        <v>14889</v>
      </c>
      <c r="BH43" s="124">
        <f t="shared" si="0"/>
        <v>0</v>
      </c>
      <c r="BI43" s="124">
        <f t="shared" si="1"/>
        <v>0</v>
      </c>
      <c r="BJ43" s="124">
        <f t="shared" si="2"/>
        <v>0</v>
      </c>
      <c r="BK43" s="120">
        <f>'1. OŽ'!H62</f>
        <v>0</v>
      </c>
      <c r="BM43" s="120">
        <f>'2. ŽO osim OŽ'!H62</f>
        <v>0</v>
      </c>
      <c r="BO43" s="120">
        <f>'3. ŽO zbirno'!H62</f>
        <v>0</v>
      </c>
      <c r="BQ43" s="120">
        <f>'4. N i DZ'!H62</f>
        <v>55</v>
      </c>
      <c r="BS43" s="120">
        <f>'5. MV'!H62</f>
        <v>0</v>
      </c>
      <c r="BU43" s="120">
        <f>'6. PO i TR'!H62</f>
        <v>0</v>
      </c>
      <c r="BW43" s="120">
        <f>'7. VAZ'!H62</f>
        <v>0</v>
      </c>
      <c r="BY43" s="120">
        <f>'8. IMOV'!H62</f>
        <v>153</v>
      </c>
      <c r="CA43" s="120">
        <f>'9. ODG.'!H62</f>
        <v>0</v>
      </c>
      <c r="CC43" s="120">
        <f>'10.KJ'!H62</f>
        <v>0</v>
      </c>
      <c r="CE43" s="120">
        <f>'11. OST.'!H62</f>
        <v>0</v>
      </c>
      <c r="CG43" s="120">
        <f>'12. NZZ'!H62</f>
        <v>0</v>
      </c>
      <c r="CI43" s="120">
        <f>'13. ukupno'!H62</f>
        <v>284</v>
      </c>
      <c r="CJ43" s="124">
        <f t="shared" si="3"/>
        <v>76</v>
      </c>
      <c r="CK43" s="124">
        <f t="shared" si="4"/>
        <v>284</v>
      </c>
    </row>
    <row r="44" spans="1:89" ht="38.25">
      <c r="B44" s="121" t="s">
        <v>409</v>
      </c>
      <c r="C44" s="139" t="s">
        <v>416</v>
      </c>
      <c r="D44" s="176"/>
      <c r="E44" s="138"/>
      <c r="F44" s="176"/>
      <c r="G44" s="138"/>
      <c r="H44" s="176"/>
      <c r="I44" s="138"/>
      <c r="J44" s="176"/>
      <c r="K44" s="140"/>
      <c r="L44" s="176"/>
      <c r="M44" s="138"/>
      <c r="N44" s="176"/>
      <c r="O44" s="138"/>
      <c r="P44" s="176"/>
      <c r="Q44" s="138"/>
      <c r="R44" s="176"/>
      <c r="S44" s="140"/>
      <c r="T44" s="176"/>
      <c r="U44" s="140"/>
      <c r="V44" s="180"/>
      <c r="W44" s="141"/>
      <c r="X44" s="180"/>
      <c r="Y44" s="142"/>
      <c r="Z44" s="180"/>
      <c r="AA44" s="141"/>
      <c r="AB44" s="180"/>
      <c r="AC44" s="142"/>
      <c r="AD44" s="121" t="s">
        <v>409</v>
      </c>
      <c r="AE44" s="124"/>
      <c r="AG44" s="39" t="s">
        <v>47</v>
      </c>
      <c r="AH44" s="256">
        <v>1042</v>
      </c>
      <c r="AI44" s="220">
        <f>'1. OŽ'!G63</f>
        <v>0</v>
      </c>
      <c r="AK44" s="220">
        <f>'2. ŽO osim OŽ'!G63</f>
        <v>0</v>
      </c>
      <c r="AM44" s="220">
        <f>'3. ŽO zbirno'!G63</f>
        <v>0</v>
      </c>
      <c r="AO44" s="220">
        <f>'4. N i DZ'!G63</f>
        <v>0</v>
      </c>
      <c r="AQ44" s="220">
        <f>'5. MV'!G63</f>
        <v>0</v>
      </c>
      <c r="AS44" s="220">
        <f>'6. PO i TR'!G63</f>
        <v>0</v>
      </c>
      <c r="AU44" s="220">
        <f>'7. VAZ'!G63</f>
        <v>0</v>
      </c>
      <c r="AW44" s="220">
        <f>'8. IMOV'!G63</f>
        <v>0</v>
      </c>
      <c r="AY44" s="220">
        <f>'9. ODG.'!G63</f>
        <v>0</v>
      </c>
      <c r="BA44" s="220">
        <f>'10.KJ'!G63</f>
        <v>0</v>
      </c>
      <c r="BC44" s="220">
        <f>'11. OST.'!G63</f>
        <v>0</v>
      </c>
      <c r="BE44" s="220">
        <f>'12. NZZ'!G63</f>
        <v>0</v>
      </c>
      <c r="BG44" s="220">
        <f>'13. ukupno'!G63</f>
        <v>0</v>
      </c>
      <c r="BH44" s="124">
        <f t="shared" si="0"/>
        <v>0</v>
      </c>
      <c r="BI44" s="124">
        <f t="shared" si="1"/>
        <v>0</v>
      </c>
      <c r="BJ44" s="124">
        <f t="shared" si="2"/>
        <v>0</v>
      </c>
      <c r="BK44" s="120">
        <f>'1. OŽ'!H63</f>
        <v>0</v>
      </c>
      <c r="BM44" s="120">
        <f>'2. ŽO osim OŽ'!H63</f>
        <v>0</v>
      </c>
      <c r="BO44" s="120">
        <f>'3. ŽO zbirno'!H63</f>
        <v>0</v>
      </c>
      <c r="BQ44" s="120">
        <f>'4. N i DZ'!H63</f>
        <v>0</v>
      </c>
      <c r="BS44" s="120">
        <f>'5. MV'!H63</f>
        <v>0</v>
      </c>
      <c r="BU44" s="120">
        <f>'6. PO i TR'!H63</f>
        <v>0</v>
      </c>
      <c r="BW44" s="120">
        <f>'7. VAZ'!H63</f>
        <v>0</v>
      </c>
      <c r="BY44" s="120">
        <f>'8. IMOV'!H63</f>
        <v>0</v>
      </c>
      <c r="CA44" s="120">
        <f>'9. ODG.'!H63</f>
        <v>0</v>
      </c>
      <c r="CC44" s="120">
        <f>'10.KJ'!H63</f>
        <v>0</v>
      </c>
      <c r="CE44" s="120">
        <f>'11. OST.'!H63</f>
        <v>0</v>
      </c>
      <c r="CG44" s="120">
        <f>'12. NZZ'!H63</f>
        <v>0</v>
      </c>
      <c r="CI44" s="120">
        <f>'13. ukupno'!H63</f>
        <v>0</v>
      </c>
      <c r="CJ44" s="124">
        <f t="shared" si="3"/>
        <v>0</v>
      </c>
      <c r="CK44" s="124">
        <f t="shared" si="4"/>
        <v>0</v>
      </c>
    </row>
    <row r="45" spans="1:89" ht="25.5">
      <c r="B45" s="122">
        <v>1002</v>
      </c>
      <c r="C45" s="143" t="s">
        <v>391</v>
      </c>
      <c r="D45" s="177"/>
      <c r="E45" s="155">
        <f>VLOOKUP($B45,$AH:$CI,30,FALSE)</f>
        <v>0</v>
      </c>
      <c r="F45" s="155">
        <f t="shared" ref="F45:Z47" si="7">VLOOKUP($B45,$AH:$CI,30,FALSE)</f>
        <v>0</v>
      </c>
      <c r="G45" s="155">
        <f>VLOOKUP($B45,$AH:$CI,32,FALSE)</f>
        <v>0</v>
      </c>
      <c r="H45" s="155">
        <f t="shared" si="7"/>
        <v>0</v>
      </c>
      <c r="I45" s="155">
        <f>VLOOKUP($B45,$AH:$CI,34,FALSE)</f>
        <v>0</v>
      </c>
      <c r="J45" s="155">
        <f t="shared" si="7"/>
        <v>0</v>
      </c>
      <c r="K45" s="155">
        <f>VLOOKUP($B45,$AH:$CI,36,FALSE)</f>
        <v>1358405</v>
      </c>
      <c r="L45" s="155">
        <f t="shared" si="7"/>
        <v>0</v>
      </c>
      <c r="M45" s="155">
        <f>VLOOKUP($B45,$AH:$CI,38,FALSE)</f>
        <v>0</v>
      </c>
      <c r="N45" s="155">
        <f t="shared" si="7"/>
        <v>0</v>
      </c>
      <c r="O45" s="155">
        <f>VLOOKUP($B45,$AH:$CI,40,FALSE)</f>
        <v>0</v>
      </c>
      <c r="P45" s="155">
        <f t="shared" si="7"/>
        <v>0</v>
      </c>
      <c r="Q45" s="155">
        <f>VLOOKUP($B45,$AH:$CI,42,FALSE)</f>
        <v>29980</v>
      </c>
      <c r="R45" s="155">
        <f t="shared" si="7"/>
        <v>0</v>
      </c>
      <c r="S45" s="155">
        <f>VLOOKUP($B45,$AH:$CI,44,FALSE)</f>
        <v>4315874</v>
      </c>
      <c r="T45" s="155">
        <f t="shared" si="7"/>
        <v>0</v>
      </c>
      <c r="U45" s="155">
        <f>VLOOKUP($B45,$AH:$CI,46,FALSE)</f>
        <v>6137583</v>
      </c>
      <c r="V45" s="155">
        <f t="shared" si="7"/>
        <v>0</v>
      </c>
      <c r="W45" s="155">
        <f>VLOOKUP($B45,$AH:$CI,48,FALSE)</f>
        <v>0</v>
      </c>
      <c r="X45" s="155">
        <f t="shared" si="7"/>
        <v>0</v>
      </c>
      <c r="Y45" s="155">
        <f>VLOOKUP($B45,$AH:$CI,50,FALSE)</f>
        <v>331441</v>
      </c>
      <c r="Z45" s="155">
        <f t="shared" si="7"/>
        <v>0</v>
      </c>
      <c r="AA45" s="155">
        <f>VLOOKUP($B45,$AH:$CI,52,FALSE)</f>
        <v>0</v>
      </c>
      <c r="AB45" s="155"/>
      <c r="AC45" s="155">
        <f>VLOOKUP($B45,$AH:$CI,54,FALSE)</f>
        <v>15333649</v>
      </c>
      <c r="AD45" s="122">
        <v>1002</v>
      </c>
      <c r="AE45" s="124">
        <f>AC45-CI4</f>
        <v>0</v>
      </c>
      <c r="AG45" s="39" t="s">
        <v>48</v>
      </c>
      <c r="AH45" s="256">
        <v>1043</v>
      </c>
      <c r="AI45" s="220">
        <f>'1. OŽ'!G64</f>
        <v>0</v>
      </c>
      <c r="AK45" s="220">
        <f>'2. ŽO osim OŽ'!G64</f>
        <v>0</v>
      </c>
      <c r="AM45" s="220">
        <f>'3. ŽO zbirno'!G64</f>
        <v>0</v>
      </c>
      <c r="AO45" s="220">
        <f>'4. N i DZ'!G64</f>
        <v>0</v>
      </c>
      <c r="AQ45" s="220">
        <f>'5. MV'!G64</f>
        <v>0</v>
      </c>
      <c r="AS45" s="220">
        <f>'6. PO i TR'!G64</f>
        <v>0</v>
      </c>
      <c r="AU45" s="220">
        <f>'7. VAZ'!G64</f>
        <v>0</v>
      </c>
      <c r="AW45" s="220">
        <f>'8. IMOV'!G64</f>
        <v>0</v>
      </c>
      <c r="AY45" s="220">
        <f>'9. ODG.'!G64</f>
        <v>0</v>
      </c>
      <c r="BA45" s="220">
        <f>'10.KJ'!G64</f>
        <v>0</v>
      </c>
      <c r="BC45" s="220">
        <f>'11. OST.'!G64</f>
        <v>0</v>
      </c>
      <c r="BE45" s="220">
        <f>'12. NZZ'!G64</f>
        <v>0</v>
      </c>
      <c r="BG45" s="220">
        <f>'13. ukupno'!G64</f>
        <v>0</v>
      </c>
      <c r="BH45" s="124">
        <f t="shared" si="0"/>
        <v>0</v>
      </c>
      <c r="BI45" s="124">
        <f t="shared" si="1"/>
        <v>0</v>
      </c>
      <c r="BJ45" s="124">
        <f t="shared" si="2"/>
        <v>0</v>
      </c>
      <c r="BK45" s="120">
        <f>'1. OŽ'!H64</f>
        <v>0</v>
      </c>
      <c r="BM45" s="120">
        <f>'2. ŽO osim OŽ'!H64</f>
        <v>0</v>
      </c>
      <c r="BO45" s="120">
        <f>'3. ŽO zbirno'!H64</f>
        <v>0</v>
      </c>
      <c r="BQ45" s="120">
        <f>'4. N i DZ'!H64</f>
        <v>0</v>
      </c>
      <c r="BS45" s="120">
        <f>'5. MV'!H64</f>
        <v>0</v>
      </c>
      <c r="BU45" s="120">
        <f>'6. PO i TR'!H64</f>
        <v>0</v>
      </c>
      <c r="BW45" s="120">
        <f>'7. VAZ'!H64</f>
        <v>0</v>
      </c>
      <c r="BY45" s="120">
        <f>'8. IMOV'!H64</f>
        <v>0</v>
      </c>
      <c r="CA45" s="120">
        <f>'9. ODG.'!H64</f>
        <v>0</v>
      </c>
      <c r="CC45" s="120">
        <f>'10.KJ'!H64</f>
        <v>0</v>
      </c>
      <c r="CE45" s="120">
        <f>'11. OST.'!H64</f>
        <v>0</v>
      </c>
      <c r="CG45" s="120">
        <f>'12. NZZ'!H64</f>
        <v>0</v>
      </c>
      <c r="CI45" s="120">
        <f>'13. ukupno'!H64</f>
        <v>0</v>
      </c>
      <c r="CJ45" s="124">
        <f t="shared" si="3"/>
        <v>0</v>
      </c>
      <c r="CK45" s="124">
        <f t="shared" si="4"/>
        <v>0</v>
      </c>
    </row>
    <row r="46" spans="1:89" ht="33.75">
      <c r="B46" s="121">
        <v>1014</v>
      </c>
      <c r="C46" s="143" t="s">
        <v>389</v>
      </c>
      <c r="D46" s="177"/>
      <c r="E46" s="155">
        <f>VLOOKUP($B46,$AH:$CI,30,FALSE)</f>
        <v>0</v>
      </c>
      <c r="F46" s="155">
        <f t="shared" si="7"/>
        <v>0</v>
      </c>
      <c r="G46" s="155">
        <f>VLOOKUP($B46,$AH:$CI,32,FALSE)</f>
        <v>0</v>
      </c>
      <c r="H46" s="155">
        <f t="shared" si="7"/>
        <v>0</v>
      </c>
      <c r="I46" s="155">
        <f>VLOOKUP($B46,$AH:$CI,34,FALSE)</f>
        <v>0</v>
      </c>
      <c r="J46" s="155">
        <f t="shared" si="7"/>
        <v>0</v>
      </c>
      <c r="K46" s="155">
        <f>VLOOKUP($B46,$AH:$CI,36,FALSE)</f>
        <v>1047</v>
      </c>
      <c r="L46" s="155">
        <f t="shared" si="7"/>
        <v>0</v>
      </c>
      <c r="M46" s="155">
        <f>VLOOKUP($B46,$AH:$CI,38,FALSE)</f>
        <v>0</v>
      </c>
      <c r="N46" s="155">
        <f t="shared" si="7"/>
        <v>0</v>
      </c>
      <c r="O46" s="155">
        <f>VLOOKUP($B46,$AH:$CI,40,FALSE)</f>
        <v>0</v>
      </c>
      <c r="P46" s="155">
        <f t="shared" si="7"/>
        <v>0</v>
      </c>
      <c r="Q46" s="155">
        <f>VLOOKUP($B46,$AH:$CI,42,FALSE)</f>
        <v>158</v>
      </c>
      <c r="R46" s="155">
        <f t="shared" si="7"/>
        <v>0</v>
      </c>
      <c r="S46" s="155">
        <f>VLOOKUP($B46,$AH:$CI,44,FALSE)</f>
        <v>5822</v>
      </c>
      <c r="T46" s="155">
        <f t="shared" si="7"/>
        <v>0</v>
      </c>
      <c r="U46" s="155">
        <f>VLOOKUP($B46,$AH:$CI,46,FALSE)</f>
        <v>207283</v>
      </c>
      <c r="V46" s="155">
        <f t="shared" si="7"/>
        <v>0</v>
      </c>
      <c r="W46" s="155">
        <f>VLOOKUP($B46,$AH:$CI,48,FALSE)</f>
        <v>0</v>
      </c>
      <c r="X46" s="155">
        <f t="shared" si="7"/>
        <v>0</v>
      </c>
      <c r="Y46" s="155">
        <f>VLOOKUP($B46,$AH:$CI,50,FALSE)</f>
        <v>130</v>
      </c>
      <c r="Z46" s="155">
        <f t="shared" si="7"/>
        <v>0</v>
      </c>
      <c r="AA46" s="155">
        <f>VLOOKUP($B46,$AH:$CI,52,FALSE)</f>
        <v>0</v>
      </c>
      <c r="AB46" s="155"/>
      <c r="AC46" s="155">
        <f>VLOOKUP($B46,$AH:$CI,54,FALSE)</f>
        <v>216346</v>
      </c>
      <c r="AD46" s="121">
        <v>1014</v>
      </c>
      <c r="AE46" s="124">
        <f>AC46-CI16</f>
        <v>0</v>
      </c>
      <c r="AG46" s="85" t="s">
        <v>173</v>
      </c>
      <c r="AH46" s="255">
        <v>1044</v>
      </c>
      <c r="AI46" s="219">
        <f>'1. OŽ'!G65</f>
        <v>0</v>
      </c>
      <c r="AK46" s="219">
        <f>'2. ŽO osim OŽ'!G65</f>
        <v>0</v>
      </c>
      <c r="AM46" s="219">
        <f>'3. ŽO zbirno'!G65</f>
        <v>0</v>
      </c>
      <c r="AO46" s="219">
        <f>'4. N i DZ'!G65</f>
        <v>209</v>
      </c>
      <c r="AQ46" s="219">
        <f>'5. MV'!G65</f>
        <v>99032</v>
      </c>
      <c r="AS46" s="219">
        <f>'6. PO i TR'!G65</f>
        <v>4129</v>
      </c>
      <c r="AU46" s="219">
        <f>'7. VAZ'!G65</f>
        <v>4</v>
      </c>
      <c r="AW46" s="219">
        <f>'8. IMOV'!G65</f>
        <v>2333</v>
      </c>
      <c r="AY46" s="219">
        <f>'9. ODG.'!G65</f>
        <v>227320</v>
      </c>
      <c r="BA46" s="219">
        <f>'10.KJ'!G65</f>
        <v>12275</v>
      </c>
      <c r="BC46" s="219">
        <f>'11. OST.'!G65</f>
        <v>46</v>
      </c>
      <c r="BE46" s="219">
        <f>'12. NZZ'!G65</f>
        <v>345348</v>
      </c>
      <c r="BG46" s="219">
        <f>'13. ukupno'!G65</f>
        <v>345348</v>
      </c>
      <c r="BH46" s="124">
        <f t="shared" si="0"/>
        <v>0</v>
      </c>
      <c r="BI46" s="124">
        <f t="shared" si="1"/>
        <v>0</v>
      </c>
      <c r="BJ46" s="124">
        <f t="shared" si="2"/>
        <v>0</v>
      </c>
      <c r="BK46" s="120">
        <f>'1. OŽ'!H65</f>
        <v>0</v>
      </c>
      <c r="BM46" s="120">
        <f>'2. ŽO osim OŽ'!H65</f>
        <v>0</v>
      </c>
      <c r="BO46" s="120">
        <f>'3. ŽO zbirno'!H65</f>
        <v>0</v>
      </c>
      <c r="BQ46" s="120">
        <f>'4. N i DZ'!H65</f>
        <v>7</v>
      </c>
      <c r="BS46" s="120">
        <f>'5. MV'!H65</f>
        <v>0</v>
      </c>
      <c r="BU46" s="120">
        <f>'6. PO i TR'!H65</f>
        <v>0</v>
      </c>
      <c r="BW46" s="120">
        <f>'7. VAZ'!H65</f>
        <v>0</v>
      </c>
      <c r="BY46" s="120">
        <f>'8. IMOV'!H65</f>
        <v>13944</v>
      </c>
      <c r="CA46" s="120">
        <f>'9. ODG.'!H65</f>
        <v>234989</v>
      </c>
      <c r="CC46" s="120">
        <f>'10.KJ'!H65</f>
        <v>0</v>
      </c>
      <c r="CE46" s="120">
        <f>'11. OST.'!H65</f>
        <v>1</v>
      </c>
      <c r="CG46" s="120">
        <f>'12. NZZ'!H65</f>
        <v>0</v>
      </c>
      <c r="CI46" s="120">
        <f>'13. ukupno'!H65</f>
        <v>357990</v>
      </c>
      <c r="CJ46" s="124">
        <f t="shared" si="3"/>
        <v>109049</v>
      </c>
      <c r="CK46" s="124">
        <f t="shared" si="4"/>
        <v>357990</v>
      </c>
    </row>
    <row r="47" spans="1:89" ht="12.75">
      <c r="B47" s="121">
        <v>1015</v>
      </c>
      <c r="C47" s="143" t="s">
        <v>373</v>
      </c>
      <c r="D47" s="177"/>
      <c r="E47" s="155">
        <f>VLOOKUP($B47,$AH:$CI,30,FALSE)</f>
        <v>0</v>
      </c>
      <c r="F47" s="155">
        <f t="shared" si="7"/>
        <v>0</v>
      </c>
      <c r="G47" s="155">
        <f>VLOOKUP($B47,$AH:$CI,32,FALSE)</f>
        <v>0</v>
      </c>
      <c r="H47" s="155">
        <f t="shared" si="7"/>
        <v>0</v>
      </c>
      <c r="I47" s="155">
        <f>VLOOKUP($B47,$AH:$CI,34,FALSE)</f>
        <v>0</v>
      </c>
      <c r="J47" s="155">
        <f t="shared" si="7"/>
        <v>0</v>
      </c>
      <c r="K47" s="155">
        <f>VLOOKUP($B47,$AH:$CI,36,FALSE)</f>
        <v>1160</v>
      </c>
      <c r="L47" s="155">
        <f t="shared" si="7"/>
        <v>0</v>
      </c>
      <c r="M47" s="155">
        <f>VLOOKUP($B47,$AH:$CI,38,FALSE)</f>
        <v>0</v>
      </c>
      <c r="N47" s="155">
        <f t="shared" si="7"/>
        <v>0</v>
      </c>
      <c r="O47" s="155">
        <f>VLOOKUP($B47,$AH:$CI,40,FALSE)</f>
        <v>0</v>
      </c>
      <c r="P47" s="155">
        <f t="shared" si="7"/>
        <v>0</v>
      </c>
      <c r="Q47" s="155">
        <f>VLOOKUP($B47,$AH:$CI,42,FALSE)</f>
        <v>33</v>
      </c>
      <c r="R47" s="155">
        <f t="shared" si="7"/>
        <v>0</v>
      </c>
      <c r="S47" s="155">
        <f>VLOOKUP($B47,$AH:$CI,44,FALSE)</f>
        <v>25170</v>
      </c>
      <c r="T47" s="155">
        <f t="shared" si="7"/>
        <v>0</v>
      </c>
      <c r="U47" s="155">
        <f>VLOOKUP($B47,$AH:$CI,46,FALSE)</f>
        <v>12971</v>
      </c>
      <c r="V47" s="155">
        <f t="shared" si="7"/>
        <v>0</v>
      </c>
      <c r="W47" s="155">
        <f>VLOOKUP($B47,$AH:$CI,48,FALSE)</f>
        <v>0</v>
      </c>
      <c r="X47" s="155">
        <f t="shared" si="7"/>
        <v>0</v>
      </c>
      <c r="Y47" s="155">
        <f>VLOOKUP($B47,$AH:$CI,50,FALSE)</f>
        <v>135</v>
      </c>
      <c r="Z47" s="155">
        <f t="shared" si="7"/>
        <v>0</v>
      </c>
      <c r="AA47" s="155">
        <f>VLOOKUP($B47,$AH:$CI,52,FALSE)</f>
        <v>0</v>
      </c>
      <c r="AB47" s="155"/>
      <c r="AC47" s="155">
        <f>VLOOKUP($B47,$AH:$CI,54,FALSE)</f>
        <v>45757</v>
      </c>
      <c r="AD47" s="121">
        <v>1015</v>
      </c>
      <c r="AE47" s="124">
        <f>AC47-CI17</f>
        <v>0</v>
      </c>
      <c r="AG47" s="85" t="s">
        <v>50</v>
      </c>
      <c r="AH47" s="255">
        <v>1045</v>
      </c>
      <c r="AI47" s="219">
        <f>'1. OŽ'!G66</f>
        <v>0</v>
      </c>
      <c r="AK47" s="219">
        <f>'2. ŽO osim OŽ'!G66</f>
        <v>0</v>
      </c>
      <c r="AM47" s="219">
        <f>'3. ŽO zbirno'!G66</f>
        <v>0</v>
      </c>
      <c r="AO47" s="219">
        <f>'4. N i DZ'!G66</f>
        <v>0</v>
      </c>
      <c r="AQ47" s="219">
        <f>'5. MV'!G66</f>
        <v>0</v>
      </c>
      <c r="AS47" s="219">
        <f>'6. PO i TR'!G66</f>
        <v>0</v>
      </c>
      <c r="AU47" s="219">
        <f>'7. VAZ'!G66</f>
        <v>0</v>
      </c>
      <c r="AW47" s="219">
        <f>'8. IMOV'!G66</f>
        <v>0</v>
      </c>
      <c r="AY47" s="219">
        <f>'9. ODG.'!G66</f>
        <v>0</v>
      </c>
      <c r="BA47" s="219">
        <f>'10.KJ'!G66</f>
        <v>0</v>
      </c>
      <c r="BC47" s="219">
        <f>'11. OST.'!G66</f>
        <v>0</v>
      </c>
      <c r="BE47" s="219">
        <f>'12. NZZ'!G66</f>
        <v>0</v>
      </c>
      <c r="BG47" s="219">
        <f>'13. ukupno'!G66</f>
        <v>0</v>
      </c>
      <c r="BH47" s="124">
        <f t="shared" si="0"/>
        <v>0</v>
      </c>
      <c r="BI47" s="124">
        <f t="shared" si="1"/>
        <v>0</v>
      </c>
      <c r="BJ47" s="124">
        <f t="shared" si="2"/>
        <v>0</v>
      </c>
      <c r="BK47" s="120">
        <f>'1. OŽ'!H66</f>
        <v>0</v>
      </c>
      <c r="BM47" s="120">
        <f>'2. ŽO osim OŽ'!H66</f>
        <v>0</v>
      </c>
      <c r="BO47" s="120">
        <f>'3. ŽO zbirno'!H66</f>
        <v>0</v>
      </c>
      <c r="BQ47" s="120">
        <f>'4. N i DZ'!H66</f>
        <v>0</v>
      </c>
      <c r="BS47" s="120">
        <f>'5. MV'!H66</f>
        <v>0</v>
      </c>
      <c r="BU47" s="120">
        <f>'6. PO i TR'!H66</f>
        <v>0</v>
      </c>
      <c r="BW47" s="120">
        <f>'7. VAZ'!H66</f>
        <v>0</v>
      </c>
      <c r="BY47" s="120">
        <f>'8. IMOV'!H66</f>
        <v>0</v>
      </c>
      <c r="CA47" s="120">
        <f>'9. ODG.'!H66</f>
        <v>0</v>
      </c>
      <c r="CC47" s="120">
        <f>'10.KJ'!H66</f>
        <v>0</v>
      </c>
      <c r="CE47" s="120">
        <f>'11. OST.'!H66</f>
        <v>0</v>
      </c>
      <c r="CG47" s="120">
        <f>'12. NZZ'!H66</f>
        <v>0</v>
      </c>
      <c r="CI47" s="120">
        <f>'13. ukupno'!H66</f>
        <v>0</v>
      </c>
      <c r="CJ47" s="124">
        <f t="shared" si="3"/>
        <v>0</v>
      </c>
      <c r="CK47" s="124">
        <f t="shared" si="4"/>
        <v>0</v>
      </c>
    </row>
    <row r="48" spans="1:89" ht="12.75">
      <c r="B48" s="121">
        <v>1001</v>
      </c>
      <c r="C48" s="139"/>
      <c r="D48" s="177"/>
      <c r="E48" s="148">
        <f>SUM(E45:E47)</f>
        <v>0</v>
      </c>
      <c r="F48" s="148">
        <f t="shared" ref="F48:AC48" si="8">SUM(F45:F47)</f>
        <v>0</v>
      </c>
      <c r="G48" s="147">
        <f t="shared" si="8"/>
        <v>0</v>
      </c>
      <c r="H48" s="148">
        <f t="shared" si="8"/>
        <v>0</v>
      </c>
      <c r="I48" s="147">
        <f t="shared" si="8"/>
        <v>0</v>
      </c>
      <c r="J48" s="148">
        <f t="shared" si="8"/>
        <v>0</v>
      </c>
      <c r="K48" s="147">
        <f t="shared" si="8"/>
        <v>1360612</v>
      </c>
      <c r="L48" s="148">
        <f t="shared" si="8"/>
        <v>0</v>
      </c>
      <c r="M48" s="147">
        <f t="shared" si="8"/>
        <v>0</v>
      </c>
      <c r="N48" s="148">
        <f t="shared" si="8"/>
        <v>0</v>
      </c>
      <c r="O48" s="147">
        <f t="shared" si="8"/>
        <v>0</v>
      </c>
      <c r="P48" s="148">
        <f t="shared" si="8"/>
        <v>0</v>
      </c>
      <c r="Q48" s="148">
        <f t="shared" si="8"/>
        <v>30171</v>
      </c>
      <c r="R48" s="148">
        <f t="shared" si="8"/>
        <v>0</v>
      </c>
      <c r="S48" s="147">
        <f t="shared" si="8"/>
        <v>4346866</v>
      </c>
      <c r="T48" s="148">
        <f t="shared" si="8"/>
        <v>0</v>
      </c>
      <c r="U48" s="147">
        <f t="shared" si="8"/>
        <v>6357837</v>
      </c>
      <c r="V48" s="148">
        <f t="shared" si="8"/>
        <v>0</v>
      </c>
      <c r="W48" s="147">
        <f t="shared" si="8"/>
        <v>0</v>
      </c>
      <c r="X48" s="148">
        <f t="shared" si="8"/>
        <v>0</v>
      </c>
      <c r="Y48" s="148">
        <f t="shared" si="8"/>
        <v>331706</v>
      </c>
      <c r="Z48" s="148">
        <f t="shared" si="8"/>
        <v>0</v>
      </c>
      <c r="AA48" s="148">
        <f t="shared" si="8"/>
        <v>0</v>
      </c>
      <c r="AB48" s="148">
        <f t="shared" si="8"/>
        <v>0</v>
      </c>
      <c r="AC48" s="147">
        <f t="shared" si="8"/>
        <v>15595752</v>
      </c>
      <c r="AD48" s="121">
        <v>1001</v>
      </c>
      <c r="AE48" s="124">
        <f>AC48-CI3</f>
        <v>0</v>
      </c>
      <c r="AG48" s="85" t="s">
        <v>51</v>
      </c>
      <c r="AH48" s="255">
        <v>1046</v>
      </c>
      <c r="AI48" s="219">
        <f>'1. OŽ'!G67</f>
        <v>6399</v>
      </c>
      <c r="AK48" s="219">
        <f>'2. ŽO osim OŽ'!G67</f>
        <v>0</v>
      </c>
      <c r="AM48" s="219">
        <f>'3. ŽO zbirno'!G67</f>
        <v>6399</v>
      </c>
      <c r="AO48" s="219">
        <f>'4. N i DZ'!G67</f>
        <v>80009</v>
      </c>
      <c r="AQ48" s="219">
        <f>'5. MV'!G67</f>
        <v>0</v>
      </c>
      <c r="AS48" s="219">
        <f>'6. PO i TR'!G67</f>
        <v>57178</v>
      </c>
      <c r="AU48" s="219">
        <f>'7. VAZ'!G67</f>
        <v>0</v>
      </c>
      <c r="AW48" s="219">
        <f>'8. IMOV'!G67</f>
        <v>0</v>
      </c>
      <c r="AY48" s="219">
        <f>'9. ODG.'!G67</f>
        <v>1268855</v>
      </c>
      <c r="BA48" s="219">
        <f>'10.KJ'!G67</f>
        <v>409</v>
      </c>
      <c r="BC48" s="219">
        <f>'11. OST.'!G67</f>
        <v>14962</v>
      </c>
      <c r="BE48" s="219">
        <f>'12. NZZ'!G67</f>
        <v>1421413</v>
      </c>
      <c r="BG48" s="219">
        <f>'13. ukupno'!G67</f>
        <v>1427812</v>
      </c>
      <c r="BH48" s="124">
        <f t="shared" si="0"/>
        <v>0</v>
      </c>
      <c r="BI48" s="124">
        <f t="shared" si="1"/>
        <v>0</v>
      </c>
      <c r="BJ48" s="124">
        <f t="shared" si="2"/>
        <v>0</v>
      </c>
      <c r="BK48" s="120">
        <f>'1. OŽ'!H67</f>
        <v>0</v>
      </c>
      <c r="BM48" s="120">
        <f>'2. ŽO osim OŽ'!H67</f>
        <v>0</v>
      </c>
      <c r="BO48" s="120">
        <f>'3. ŽO zbirno'!H67</f>
        <v>0</v>
      </c>
      <c r="BQ48" s="120">
        <f>'4. N i DZ'!H67</f>
        <v>30329</v>
      </c>
      <c r="BS48" s="120">
        <f>'5. MV'!H67</f>
        <v>0</v>
      </c>
      <c r="BU48" s="120">
        <f>'6. PO i TR'!H67</f>
        <v>0</v>
      </c>
      <c r="BW48" s="120">
        <f>'7. VAZ'!H67</f>
        <v>251</v>
      </c>
      <c r="BY48" s="120">
        <f>'8. IMOV'!H67</f>
        <v>50546</v>
      </c>
      <c r="CA48" s="120">
        <f>'9. ODG.'!H67</f>
        <v>44678</v>
      </c>
      <c r="CC48" s="120">
        <f>'10.KJ'!H67</f>
        <v>0</v>
      </c>
      <c r="CE48" s="120">
        <f>'11. OST.'!H67</f>
        <v>110</v>
      </c>
      <c r="CG48" s="120">
        <f>'12. NZZ'!H67</f>
        <v>0</v>
      </c>
      <c r="CI48" s="120">
        <f>'13. ukupno'!H67</f>
        <v>639940</v>
      </c>
      <c r="CJ48" s="124">
        <f t="shared" si="3"/>
        <v>514026</v>
      </c>
      <c r="CK48" s="124">
        <f t="shared" si="4"/>
        <v>639940</v>
      </c>
    </row>
    <row r="49" spans="1:89" ht="12.75">
      <c r="C49" s="139" t="s">
        <v>417</v>
      </c>
      <c r="D49" s="177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21"/>
      <c r="AE49" s="124"/>
      <c r="AG49" s="85" t="s">
        <v>53</v>
      </c>
      <c r="AH49" s="255">
        <v>1047</v>
      </c>
      <c r="AI49" s="219">
        <f>'1. OŽ'!G68</f>
        <v>0</v>
      </c>
      <c r="AK49" s="219">
        <f>'2. ŽO osim OŽ'!G68</f>
        <v>0</v>
      </c>
      <c r="AM49" s="219">
        <f>'3. ŽO zbirno'!G68</f>
        <v>0</v>
      </c>
      <c r="AO49" s="219">
        <f>'4. N i DZ'!G68</f>
        <v>46724</v>
      </c>
      <c r="AQ49" s="219">
        <f>'5. MV'!G68</f>
        <v>123252</v>
      </c>
      <c r="AS49" s="219">
        <f>'6. PO i TR'!G68</f>
        <v>29379</v>
      </c>
      <c r="AU49" s="219">
        <f>'7. VAZ'!G68</f>
        <v>2882</v>
      </c>
      <c r="AW49" s="219">
        <f>'8. IMOV'!G68</f>
        <v>323690</v>
      </c>
      <c r="AY49" s="219">
        <f>'9. ODG.'!G68</f>
        <v>20368</v>
      </c>
      <c r="BA49" s="219">
        <f>'10.KJ'!G68</f>
        <v>11430</v>
      </c>
      <c r="BC49" s="219">
        <f>'11. OST.'!G68</f>
        <v>19537</v>
      </c>
      <c r="BE49" s="219">
        <f>'12. NZZ'!G68</f>
        <v>577262</v>
      </c>
      <c r="BG49" s="219">
        <f>'13. ukupno'!G68</f>
        <v>577262</v>
      </c>
      <c r="BH49" s="124">
        <f t="shared" si="0"/>
        <v>0</v>
      </c>
      <c r="BI49" s="124">
        <f t="shared" si="1"/>
        <v>0</v>
      </c>
      <c r="BJ49" s="124">
        <f t="shared" si="2"/>
        <v>0</v>
      </c>
      <c r="BK49" s="120">
        <f>'1. OŽ'!H68</f>
        <v>0</v>
      </c>
      <c r="BM49" s="120">
        <f>'2. ŽO osim OŽ'!H68</f>
        <v>0</v>
      </c>
      <c r="BO49" s="120">
        <f>'3. ŽO zbirno'!H68</f>
        <v>0</v>
      </c>
      <c r="BQ49" s="120">
        <f>'4. N i DZ'!H68</f>
        <v>35163</v>
      </c>
      <c r="BS49" s="120">
        <f>'5. MV'!H68</f>
        <v>0</v>
      </c>
      <c r="BU49" s="120">
        <f>'6. PO i TR'!H68</f>
        <v>0</v>
      </c>
      <c r="BW49" s="120">
        <f>'7. VAZ'!H68</f>
        <v>2686</v>
      </c>
      <c r="BY49" s="120">
        <f>'8. IMOV'!H68</f>
        <v>368177</v>
      </c>
      <c r="CA49" s="120">
        <f>'9. ODG.'!H68</f>
        <v>9095</v>
      </c>
      <c r="CC49" s="120">
        <f>'10.KJ'!H68</f>
        <v>0</v>
      </c>
      <c r="CE49" s="120">
        <f>'11. OST.'!H68</f>
        <v>17285</v>
      </c>
      <c r="CG49" s="120">
        <f>'12. NZZ'!H68</f>
        <v>0</v>
      </c>
      <c r="CI49" s="120">
        <f>'13. ukupno'!H68</f>
        <v>537999</v>
      </c>
      <c r="CJ49" s="124">
        <f t="shared" si="3"/>
        <v>105593</v>
      </c>
      <c r="CK49" s="124">
        <f t="shared" si="4"/>
        <v>537999</v>
      </c>
    </row>
    <row r="50" spans="1:89" ht="22.5">
      <c r="B50" s="121">
        <v>1017</v>
      </c>
      <c r="C50" s="143" t="s">
        <v>385</v>
      </c>
      <c r="D50" s="153"/>
      <c r="E50" s="155">
        <f>-VLOOKUP($B50,$AH:$CI,30,FALSE)</f>
        <v>0</v>
      </c>
      <c r="F50" s="155">
        <f t="shared" ref="F50:Z51" si="9">VLOOKUP($B50,$AH:$CI,30,FALSE)</f>
        <v>0</v>
      </c>
      <c r="G50" s="155">
        <f>-VLOOKUP($B50,$AH:$CI,32,FALSE)</f>
        <v>0</v>
      </c>
      <c r="H50" s="155">
        <f t="shared" si="9"/>
        <v>0</v>
      </c>
      <c r="I50" s="155">
        <f>-VLOOKUP($B50,$AH:$CI,34,FALSE)</f>
        <v>0</v>
      </c>
      <c r="J50" s="155">
        <f t="shared" si="9"/>
        <v>0</v>
      </c>
      <c r="K50" s="155">
        <f>-VLOOKUP($B50,$AH:$CI,36,FALSE)</f>
        <v>-27697</v>
      </c>
      <c r="L50" s="155">
        <f t="shared" si="9"/>
        <v>0</v>
      </c>
      <c r="M50" s="155">
        <f>-VLOOKUP($B50,$AH:$CI,38,FALSE)</f>
        <v>0</v>
      </c>
      <c r="N50" s="155">
        <f t="shared" si="9"/>
        <v>0</v>
      </c>
      <c r="O50" s="155">
        <f>-VLOOKUP($B50,$AH:$CI,40,FALSE)</f>
        <v>0</v>
      </c>
      <c r="P50" s="155">
        <f t="shared" si="9"/>
        <v>0</v>
      </c>
      <c r="Q50" s="155">
        <f>-VLOOKUP($B50,$AH:$CI,42,FALSE)</f>
        <v>-97</v>
      </c>
      <c r="R50" s="155">
        <f t="shared" si="9"/>
        <v>0</v>
      </c>
      <c r="S50" s="155">
        <f>-VLOOKUP($B50,$AH:$CI,44,FALSE)</f>
        <v>-105948</v>
      </c>
      <c r="T50" s="155">
        <f t="shared" si="9"/>
        <v>0</v>
      </c>
      <c r="U50" s="155">
        <f>-VLOOKUP($B50,$AH:$CI,46,FALSE)</f>
        <v>-1401634</v>
      </c>
      <c r="V50" s="155">
        <f t="shared" si="9"/>
        <v>0</v>
      </c>
      <c r="W50" s="155">
        <f>-VLOOKUP($B50,$AH:$CI,48,FALSE)</f>
        <v>0</v>
      </c>
      <c r="X50" s="155">
        <f t="shared" si="9"/>
        <v>0</v>
      </c>
      <c r="Y50" s="155">
        <f>-VLOOKUP($B50,$AH:$CI,50,FALSE)</f>
        <v>-15490</v>
      </c>
      <c r="Z50" s="155">
        <f t="shared" si="9"/>
        <v>0</v>
      </c>
      <c r="AA50" s="155">
        <f>-VLOOKUP($B50,$AH:$CI,52,FALSE)</f>
        <v>0</v>
      </c>
      <c r="AB50" s="155"/>
      <c r="AC50" s="155">
        <f>-VLOOKUP($B50,$AH:$CI,54,FALSE)</f>
        <v>-1980161</v>
      </c>
      <c r="AD50" s="121">
        <v>1017</v>
      </c>
      <c r="AE50" s="124">
        <f>AC50+CI19</f>
        <v>0</v>
      </c>
      <c r="AG50" s="85" t="s">
        <v>179</v>
      </c>
      <c r="AH50" s="255">
        <v>1048</v>
      </c>
      <c r="AI50" s="219">
        <f>'1. OŽ'!G69</f>
        <v>0</v>
      </c>
      <c r="AK50" s="219">
        <f>'2. ŽO osim OŽ'!G69</f>
        <v>0</v>
      </c>
      <c r="AM50" s="219">
        <f>'3. ŽO zbirno'!G69</f>
        <v>0</v>
      </c>
      <c r="AO50" s="219">
        <f>'4. N i DZ'!G69</f>
        <v>0</v>
      </c>
      <c r="AQ50" s="219">
        <f>'5. MV'!G69</f>
        <v>0</v>
      </c>
      <c r="AS50" s="219">
        <f>'6. PO i TR'!G69</f>
        <v>0</v>
      </c>
      <c r="AU50" s="219">
        <f>'7. VAZ'!G69</f>
        <v>0</v>
      </c>
      <c r="AW50" s="219">
        <f>'8. IMOV'!G69</f>
        <v>0</v>
      </c>
      <c r="AY50" s="219">
        <f>'9. ODG.'!G69</f>
        <v>0</v>
      </c>
      <c r="BA50" s="219">
        <f>'10.KJ'!G69</f>
        <v>0</v>
      </c>
      <c r="BC50" s="219">
        <f>'11. OST.'!G69</f>
        <v>0</v>
      </c>
      <c r="BE50" s="219">
        <f>'12. NZZ'!G69</f>
        <v>0</v>
      </c>
      <c r="BG50" s="219">
        <f>'13. ukupno'!G69</f>
        <v>0</v>
      </c>
      <c r="BH50" s="124">
        <f t="shared" si="0"/>
        <v>0</v>
      </c>
      <c r="BI50" s="124">
        <f t="shared" si="1"/>
        <v>0</v>
      </c>
      <c r="BJ50" s="124">
        <f t="shared" si="2"/>
        <v>0</v>
      </c>
      <c r="BK50" s="120">
        <f>'1. OŽ'!H69</f>
        <v>0</v>
      </c>
      <c r="BM50" s="120">
        <f>'2. ŽO osim OŽ'!H69</f>
        <v>0</v>
      </c>
      <c r="BO50" s="120">
        <f>'3. ŽO zbirno'!H69</f>
        <v>0</v>
      </c>
      <c r="BQ50" s="120">
        <f>'4. N i DZ'!H69</f>
        <v>0</v>
      </c>
      <c r="BS50" s="120">
        <f>'5. MV'!H69</f>
        <v>0</v>
      </c>
      <c r="BU50" s="120">
        <f>'6. PO i TR'!H69</f>
        <v>0</v>
      </c>
      <c r="BW50" s="120">
        <f>'7. VAZ'!H69</f>
        <v>0</v>
      </c>
      <c r="BY50" s="120">
        <f>'8. IMOV'!H69</f>
        <v>0</v>
      </c>
      <c r="CA50" s="120">
        <f>'9. ODG.'!H69</f>
        <v>0</v>
      </c>
      <c r="CC50" s="120">
        <f>'10.KJ'!H69</f>
        <v>0</v>
      </c>
      <c r="CE50" s="120">
        <f>'11. OST.'!H69</f>
        <v>0</v>
      </c>
      <c r="CG50" s="120">
        <f>'12. NZZ'!H69</f>
        <v>0</v>
      </c>
      <c r="CI50" s="120">
        <f>'13. ukupno'!H69</f>
        <v>0</v>
      </c>
      <c r="CJ50" s="124">
        <f t="shared" si="3"/>
        <v>0</v>
      </c>
      <c r="CK50" s="124">
        <f t="shared" si="4"/>
        <v>0</v>
      </c>
    </row>
    <row r="51" spans="1:89" ht="22.5">
      <c r="B51" s="121">
        <v>1026</v>
      </c>
      <c r="C51" s="143" t="s">
        <v>383</v>
      </c>
      <c r="D51" s="153"/>
      <c r="E51" s="155">
        <f>-VLOOKUP($B51,$AH:$CI,30,FALSE)</f>
        <v>0</v>
      </c>
      <c r="F51" s="155">
        <f t="shared" si="9"/>
        <v>0</v>
      </c>
      <c r="G51" s="155">
        <f>-VLOOKUP($B51,$AH:$CI,32,FALSE)</f>
        <v>0</v>
      </c>
      <c r="H51" s="155">
        <f t="shared" si="9"/>
        <v>0</v>
      </c>
      <c r="I51" s="155">
        <f>-VLOOKUP($B51,$AH:$CI,34,FALSE)</f>
        <v>0</v>
      </c>
      <c r="J51" s="155">
        <f t="shared" si="9"/>
        <v>0</v>
      </c>
      <c r="K51" s="155">
        <f>-VLOOKUP($B51,$AH:$CI,36,FALSE)</f>
        <v>-942627</v>
      </c>
      <c r="L51" s="155">
        <f t="shared" si="9"/>
        <v>0</v>
      </c>
      <c r="M51" s="155">
        <f>-VLOOKUP($B51,$AH:$CI,38,FALSE)</f>
        <v>0</v>
      </c>
      <c r="N51" s="155">
        <f t="shared" si="9"/>
        <v>0</v>
      </c>
      <c r="O51" s="155">
        <f>-VLOOKUP($B51,$AH:$CI,40,FALSE)</f>
        <v>0</v>
      </c>
      <c r="P51" s="155">
        <f t="shared" si="9"/>
        <v>0</v>
      </c>
      <c r="Q51" s="155">
        <f>-VLOOKUP($B51,$AH:$CI,42,FALSE)</f>
        <v>-2808</v>
      </c>
      <c r="R51" s="155">
        <f t="shared" si="9"/>
        <v>0</v>
      </c>
      <c r="S51" s="155">
        <f>-VLOOKUP($B51,$AH:$CI,44,FALSE)</f>
        <v>-2279020</v>
      </c>
      <c r="T51" s="155">
        <f t="shared" si="9"/>
        <v>0</v>
      </c>
      <c r="U51" s="155">
        <f>-VLOOKUP($B51,$AH:$CI,46,FALSE)</f>
        <v>-2573318</v>
      </c>
      <c r="V51" s="155">
        <f t="shared" si="9"/>
        <v>0</v>
      </c>
      <c r="W51" s="155">
        <f>-VLOOKUP($B51,$AH:$CI,48,FALSE)</f>
        <v>0</v>
      </c>
      <c r="X51" s="155">
        <f t="shared" si="9"/>
        <v>0</v>
      </c>
      <c r="Y51" s="155">
        <f>-VLOOKUP($B51,$AH:$CI,50,FALSE)</f>
        <v>-88030</v>
      </c>
      <c r="Z51" s="155">
        <f t="shared" si="9"/>
        <v>0</v>
      </c>
      <c r="AA51" s="155">
        <f>-VLOOKUP($B51,$AH:$CI,52,FALSE)</f>
        <v>0</v>
      </c>
      <c r="AB51" s="155"/>
      <c r="AC51" s="155">
        <f>-VLOOKUP($B51,$AH:$CI,54,FALSE)</f>
        <v>-8504313</v>
      </c>
      <c r="AD51" s="121">
        <v>1026</v>
      </c>
      <c r="AE51" s="124">
        <f>AC51+CI28</f>
        <v>0</v>
      </c>
      <c r="AG51" s="85" t="s">
        <v>299</v>
      </c>
      <c r="AH51" s="254">
        <v>1049</v>
      </c>
      <c r="AI51" s="222">
        <f>'1. OŽ'!G70</f>
        <v>217619</v>
      </c>
      <c r="AK51" s="222">
        <f>'2. ŽO osim OŽ'!G70</f>
        <v>62424</v>
      </c>
      <c r="AM51" s="222">
        <f>'3. ŽO zbirno'!G70</f>
        <v>280043</v>
      </c>
      <c r="AO51" s="222">
        <f>'4. N i DZ'!G70</f>
        <v>288196</v>
      </c>
      <c r="AQ51" s="222">
        <f>'5. MV'!G70</f>
        <v>106424</v>
      </c>
      <c r="AS51" s="222">
        <f>'6. PO i TR'!G70</f>
        <v>189849</v>
      </c>
      <c r="AU51" s="222">
        <f>'7. VAZ'!G70</f>
        <v>14637</v>
      </c>
      <c r="AW51" s="222">
        <f>'8. IMOV'!G70</f>
        <v>1445334</v>
      </c>
      <c r="AY51" s="222">
        <f>'9. ODG.'!G70</f>
        <v>4915261</v>
      </c>
      <c r="BA51" s="222">
        <f>'10.KJ'!G70</f>
        <v>13778</v>
      </c>
      <c r="BC51" s="222">
        <f>'11. OST.'!G70</f>
        <v>230326</v>
      </c>
      <c r="BE51" s="222">
        <f>'12. NZZ'!G70</f>
        <v>7203805</v>
      </c>
      <c r="BG51" s="222">
        <f>'13. ukupno'!G70</f>
        <v>7483848</v>
      </c>
      <c r="BH51" s="124">
        <f t="shared" si="0"/>
        <v>0</v>
      </c>
      <c r="BI51" s="124">
        <f t="shared" si="1"/>
        <v>0</v>
      </c>
      <c r="BJ51" s="124">
        <f t="shared" si="2"/>
        <v>0</v>
      </c>
      <c r="BK51" s="120">
        <f>'1. OŽ'!H70</f>
        <v>0</v>
      </c>
      <c r="BM51" s="120">
        <f>'2. ŽO osim OŽ'!H70</f>
        <v>0</v>
      </c>
      <c r="BO51" s="120">
        <f>'3. ŽO zbirno'!H70</f>
        <v>0</v>
      </c>
      <c r="BQ51" s="120">
        <f>'4. N i DZ'!H70</f>
        <v>394413</v>
      </c>
      <c r="BS51" s="120">
        <f>'5. MV'!H70</f>
        <v>0</v>
      </c>
      <c r="BU51" s="120">
        <f>'6. PO i TR'!H70</f>
        <v>0</v>
      </c>
      <c r="BW51" s="120">
        <f>'7. VAZ'!H70</f>
        <v>6675</v>
      </c>
      <c r="BY51" s="120">
        <f>'8. IMOV'!H70</f>
        <v>1574985</v>
      </c>
      <c r="CA51" s="120">
        <f>'9. ODG.'!H70</f>
        <v>2897081</v>
      </c>
      <c r="CC51" s="120">
        <f>'10.KJ'!H70</f>
        <v>0</v>
      </c>
      <c r="CE51" s="120">
        <f>'11. OST.'!H70</f>
        <v>211945</v>
      </c>
      <c r="CG51" s="120">
        <f>'12. NZZ'!H70</f>
        <v>0</v>
      </c>
      <c r="CI51" s="120">
        <f>'13. ukupno'!H70</f>
        <v>5710630</v>
      </c>
      <c r="CJ51" s="124">
        <f t="shared" si="3"/>
        <v>625531</v>
      </c>
      <c r="CK51" s="124">
        <f t="shared" si="4"/>
        <v>5710630</v>
      </c>
    </row>
    <row r="52" spans="1:89" ht="12.75">
      <c r="A52" s="117">
        <v>1034</v>
      </c>
      <c r="B52" s="121">
        <v>1035</v>
      </c>
      <c r="C52" s="143" t="s">
        <v>381</v>
      </c>
      <c r="D52" s="153"/>
      <c r="E52" s="144">
        <f>-VLOOKUP($A52,$AH:$CI,30,FALSE)+VLOOKUP($B52,$AH:$CI,30,FALSE)</f>
        <v>0</v>
      </c>
      <c r="F52" s="155"/>
      <c r="G52" s="144">
        <f>-VLOOKUP($A52,$AH:$CI,32,FALSE)+VLOOKUP($B52,$AH:$CI,32,FALSE)</f>
        <v>0</v>
      </c>
      <c r="H52" s="155"/>
      <c r="I52" s="144">
        <f>-VLOOKUP($A52,$AH:$CI,34,FALSE)+VLOOKUP($B52,$AH:$CI,34,FALSE)</f>
        <v>0</v>
      </c>
      <c r="J52" s="155"/>
      <c r="K52" s="144">
        <f>-VLOOKUP($A52,$AH:$CI,36,FALSE)+VLOOKUP($B52,$AH:$CI,36,FALSE)</f>
        <v>8952</v>
      </c>
      <c r="L52" s="155"/>
      <c r="M52" s="144">
        <f>-VLOOKUP($A52,$AH:$CI,38,FALSE)+VLOOKUP($B52,$AH:$CI,38,FALSE)</f>
        <v>0</v>
      </c>
      <c r="N52" s="155"/>
      <c r="O52" s="144">
        <f>-VLOOKUP($A52,$AH:$CI,40,FALSE)+VLOOKUP($B52,$AH:$CI,40,FALSE)</f>
        <v>0</v>
      </c>
      <c r="P52" s="155"/>
      <c r="Q52" s="144">
        <f>-VLOOKUP($A52,$AH:$CI,42,FALSE)+VLOOKUP($B52,$AH:$CI,42,FALSE)</f>
        <v>-18156</v>
      </c>
      <c r="R52" s="155"/>
      <c r="S52" s="144">
        <f>-VLOOKUP($A52,$AH:$CI,44,FALSE)+VLOOKUP($B52,$AH:$CI,44,FALSE)</f>
        <v>-83226</v>
      </c>
      <c r="T52" s="155"/>
      <c r="U52" s="144">
        <f>-VLOOKUP($A52,$AH:$CI,46,FALSE)+VLOOKUP($B52,$AH:$CI,46,FALSE)</f>
        <v>243624</v>
      </c>
      <c r="V52" s="155"/>
      <c r="W52" s="144">
        <f>-VLOOKUP($A52,$AH:$CI,48,FALSE)+VLOOKUP($B52,$AH:$CI,48,FALSE)</f>
        <v>0</v>
      </c>
      <c r="X52" s="155"/>
      <c r="Y52" s="144">
        <f>-VLOOKUP($A52,$AH:$CI,50,FALSE)+VLOOKUP($B52,$AH:$CI,50,FALSE)</f>
        <v>933</v>
      </c>
      <c r="Z52" s="155"/>
      <c r="AA52" s="144">
        <f>-VLOOKUP($A52,$AH:$CI,52,FALSE)+VLOOKUP($B52,$AH:$CI,52,FALSE)</f>
        <v>0</v>
      </c>
      <c r="AB52" s="155"/>
      <c r="AC52" s="144">
        <f>-VLOOKUP($A52,$AH:$CI,54,FALSE)+VLOOKUP($B52,$AH:$CI,54,FALSE)</f>
        <v>139421</v>
      </c>
      <c r="AD52" s="121">
        <v>1035</v>
      </c>
      <c r="AE52" s="124">
        <f>AC52-CI37</f>
        <v>0</v>
      </c>
      <c r="AG52" s="85" t="s">
        <v>300</v>
      </c>
      <c r="AH52" s="254">
        <v>1050</v>
      </c>
      <c r="AI52" s="222">
        <f>'1. OŽ'!G71</f>
        <v>0</v>
      </c>
      <c r="AK52" s="222">
        <f>'2. ŽO osim OŽ'!G71</f>
        <v>0</v>
      </c>
      <c r="AM52" s="222">
        <f>'3. ŽO zbirno'!G71</f>
        <v>0</v>
      </c>
      <c r="AO52" s="222">
        <f>'4. N i DZ'!G71</f>
        <v>0</v>
      </c>
      <c r="AQ52" s="222">
        <f>'5. MV'!G71</f>
        <v>0</v>
      </c>
      <c r="AS52" s="222">
        <f>'6. PO i TR'!G71</f>
        <v>0</v>
      </c>
      <c r="AU52" s="222">
        <f>'7. VAZ'!G71</f>
        <v>0</v>
      </c>
      <c r="AW52" s="222">
        <f>'8. IMOV'!G71</f>
        <v>0</v>
      </c>
      <c r="AY52" s="222">
        <f>'9. ODG.'!G71</f>
        <v>0</v>
      </c>
      <c r="BA52" s="222">
        <f>'10.KJ'!G71</f>
        <v>0</v>
      </c>
      <c r="BC52" s="222">
        <f>'11. OST.'!G71</f>
        <v>0</v>
      </c>
      <c r="BE52" s="222">
        <f>'12. NZZ'!G71</f>
        <v>0</v>
      </c>
      <c r="BG52" s="222">
        <f>'13. ukupno'!G71</f>
        <v>0</v>
      </c>
      <c r="BH52" s="124">
        <f t="shared" si="0"/>
        <v>0</v>
      </c>
      <c r="BI52" s="124">
        <f t="shared" si="1"/>
        <v>0</v>
      </c>
      <c r="BJ52" s="124">
        <f t="shared" si="2"/>
        <v>0</v>
      </c>
      <c r="BK52" s="120">
        <f>'1. OŽ'!H71</f>
        <v>0</v>
      </c>
      <c r="BM52" s="120">
        <f>'2. ŽO osim OŽ'!H71</f>
        <v>0</v>
      </c>
      <c r="BO52" s="120">
        <f>'3. ŽO zbirno'!H71</f>
        <v>0</v>
      </c>
      <c r="BQ52" s="120">
        <f>'4. N i DZ'!H71</f>
        <v>0</v>
      </c>
      <c r="BS52" s="120">
        <f>'5. MV'!H71</f>
        <v>0</v>
      </c>
      <c r="BU52" s="120">
        <f>'6. PO i TR'!H71</f>
        <v>0</v>
      </c>
      <c r="BW52" s="120">
        <f>'7. VAZ'!H71</f>
        <v>0</v>
      </c>
      <c r="BY52" s="120">
        <f>'8. IMOV'!H71</f>
        <v>0</v>
      </c>
      <c r="CA52" s="120">
        <f>'9. ODG.'!H71</f>
        <v>0</v>
      </c>
      <c r="CC52" s="120">
        <f>'10.KJ'!H71</f>
        <v>0</v>
      </c>
      <c r="CE52" s="120">
        <f>'11. OST.'!H71</f>
        <v>0</v>
      </c>
      <c r="CG52" s="120">
        <f>'12. NZZ'!H71</f>
        <v>0</v>
      </c>
      <c r="CI52" s="120">
        <f>'13. ukupno'!H71</f>
        <v>0</v>
      </c>
      <c r="CJ52" s="124">
        <f t="shared" si="3"/>
        <v>0</v>
      </c>
      <c r="CK52" s="124">
        <f t="shared" si="4"/>
        <v>0</v>
      </c>
    </row>
    <row r="53" spans="1:89" ht="38.25">
      <c r="B53" s="121">
        <v>1044</v>
      </c>
      <c r="C53" s="143" t="s">
        <v>379</v>
      </c>
      <c r="D53" s="153"/>
      <c r="E53" s="155">
        <f>VLOOKUP($B53,$AH:$CI,30,FALSE)</f>
        <v>0</v>
      </c>
      <c r="F53" s="155">
        <f t="shared" ref="F53:Z54" si="10">VLOOKUP($B53,$AH:$CI,30,FALSE)</f>
        <v>0</v>
      </c>
      <c r="G53" s="155">
        <f>VLOOKUP($B53,$AH:$CI,32,FALSE)</f>
        <v>0</v>
      </c>
      <c r="H53" s="155">
        <f t="shared" si="10"/>
        <v>0</v>
      </c>
      <c r="I53" s="155">
        <f>VLOOKUP($B53,$AH:$CI,34,FALSE)</f>
        <v>0</v>
      </c>
      <c r="J53" s="155">
        <f t="shared" si="10"/>
        <v>0</v>
      </c>
      <c r="K53" s="155">
        <f>VLOOKUP($B53,$AH:$CI,36,FALSE)</f>
        <v>7</v>
      </c>
      <c r="L53" s="155">
        <f t="shared" si="10"/>
        <v>0</v>
      </c>
      <c r="M53" s="155">
        <f>VLOOKUP($B53,$AH:$CI,38,FALSE)</f>
        <v>0</v>
      </c>
      <c r="N53" s="155">
        <f t="shared" si="10"/>
        <v>0</v>
      </c>
      <c r="O53" s="155">
        <f>VLOOKUP($B53,$AH:$CI,40,FALSE)</f>
        <v>0</v>
      </c>
      <c r="P53" s="155">
        <f t="shared" si="10"/>
        <v>0</v>
      </c>
      <c r="Q53" s="155">
        <f>VLOOKUP($B53,$AH:$CI,42,FALSE)</f>
        <v>0</v>
      </c>
      <c r="R53" s="155">
        <f t="shared" si="10"/>
        <v>0</v>
      </c>
      <c r="S53" s="155">
        <f>VLOOKUP($B53,$AH:$CI,44,FALSE)</f>
        <v>13944</v>
      </c>
      <c r="T53" s="155">
        <f t="shared" si="10"/>
        <v>0</v>
      </c>
      <c r="U53" s="155">
        <f>VLOOKUP($B53,$AH:$CI,46,FALSE)</f>
        <v>234989</v>
      </c>
      <c r="V53" s="155">
        <f t="shared" si="10"/>
        <v>0</v>
      </c>
      <c r="W53" s="155">
        <f>VLOOKUP($B53,$AH:$CI,48,FALSE)</f>
        <v>0</v>
      </c>
      <c r="X53" s="155">
        <f t="shared" si="10"/>
        <v>0</v>
      </c>
      <c r="Y53" s="155">
        <f>VLOOKUP($B53,$AH:$CI,50,FALSE)</f>
        <v>1</v>
      </c>
      <c r="Z53" s="155">
        <f t="shared" si="10"/>
        <v>0</v>
      </c>
      <c r="AA53" s="155">
        <f>VLOOKUP($B53,$AH:$CI,52,FALSE)</f>
        <v>0</v>
      </c>
      <c r="AB53" s="155"/>
      <c r="AC53" s="155">
        <f>VLOOKUP($B53,$AH:$CI,54,FALSE)</f>
        <v>357990</v>
      </c>
      <c r="AD53" s="121">
        <v>1044</v>
      </c>
      <c r="AE53" s="124">
        <f>AC53-CI46</f>
        <v>0</v>
      </c>
      <c r="AG53" s="89" t="s">
        <v>301</v>
      </c>
      <c r="AH53" s="254"/>
      <c r="AI53" s="218">
        <f>'1. OŽ'!G72</f>
        <v>0</v>
      </c>
      <c r="AK53" s="218">
        <f>'2. ŽO osim OŽ'!G72</f>
        <v>0</v>
      </c>
      <c r="AM53" s="218">
        <f>'3. ŽO zbirno'!G72</f>
        <v>0</v>
      </c>
      <c r="AO53" s="218">
        <f>'4. N i DZ'!G72</f>
        <v>0</v>
      </c>
      <c r="AQ53" s="218">
        <f>'5. MV'!G72</f>
        <v>0</v>
      </c>
      <c r="AS53" s="218">
        <f>'6. PO i TR'!G72</f>
        <v>0</v>
      </c>
      <c r="AU53" s="218">
        <f>'7. VAZ'!G72</f>
        <v>0</v>
      </c>
      <c r="AW53" s="218">
        <f>'8. IMOV'!G72</f>
        <v>0</v>
      </c>
      <c r="AY53" s="218">
        <f>'9. ODG.'!G72</f>
        <v>0</v>
      </c>
      <c r="BA53" s="218">
        <f>'10.KJ'!G72</f>
        <v>0</v>
      </c>
      <c r="BC53" s="218">
        <f>'11. OST.'!G72</f>
        <v>0</v>
      </c>
      <c r="BE53" s="218">
        <f>'12. NZZ'!G72</f>
        <v>0</v>
      </c>
      <c r="BG53" s="218">
        <f>'13. ukupno'!G72</f>
        <v>0</v>
      </c>
      <c r="BH53" s="124">
        <f t="shared" si="0"/>
        <v>0</v>
      </c>
      <c r="BI53" s="124">
        <f t="shared" si="1"/>
        <v>0</v>
      </c>
      <c r="BJ53" s="124">
        <f t="shared" si="2"/>
        <v>0</v>
      </c>
      <c r="BK53" s="120">
        <f>'1. OŽ'!H72</f>
        <v>0</v>
      </c>
      <c r="BM53" s="120">
        <f>'2. ŽO osim OŽ'!H72</f>
        <v>0</v>
      </c>
      <c r="BO53" s="120">
        <f>'3. ŽO zbirno'!H72</f>
        <v>0</v>
      </c>
      <c r="BQ53" s="120">
        <f>'4. N i DZ'!H72</f>
        <v>0</v>
      </c>
      <c r="BS53" s="120">
        <f>'5. MV'!H72</f>
        <v>0</v>
      </c>
      <c r="BU53" s="120">
        <f>'6. PO i TR'!H72</f>
        <v>0</v>
      </c>
      <c r="BW53" s="120">
        <f>'7. VAZ'!H72</f>
        <v>0</v>
      </c>
      <c r="BY53" s="120">
        <f>'8. IMOV'!H72</f>
        <v>0</v>
      </c>
      <c r="CA53" s="120">
        <f>'9. ODG.'!H72</f>
        <v>0</v>
      </c>
      <c r="CC53" s="120">
        <f>'10.KJ'!H72</f>
        <v>0</v>
      </c>
      <c r="CE53" s="120">
        <f>'11. OST.'!H72</f>
        <v>0</v>
      </c>
      <c r="CG53" s="120">
        <f>'12. NZZ'!H72</f>
        <v>0</v>
      </c>
      <c r="CI53" s="120">
        <f>'13. ukupno'!H72</f>
        <v>0</v>
      </c>
      <c r="CJ53" s="124">
        <f t="shared" si="3"/>
        <v>0</v>
      </c>
      <c r="CK53" s="124">
        <f t="shared" si="4"/>
        <v>0</v>
      </c>
    </row>
    <row r="54" spans="1:89" ht="25.5">
      <c r="B54" s="121">
        <v>1046</v>
      </c>
      <c r="C54" s="143" t="s">
        <v>377</v>
      </c>
      <c r="D54" s="153"/>
      <c r="E54" s="155">
        <f>VLOOKUP($B54,$AH:$CI,30,FALSE)</f>
        <v>0</v>
      </c>
      <c r="F54" s="155">
        <f t="shared" si="10"/>
        <v>0</v>
      </c>
      <c r="G54" s="155">
        <f>VLOOKUP($B54,$AH:$CI,32,FALSE)</f>
        <v>0</v>
      </c>
      <c r="H54" s="155">
        <f t="shared" si="10"/>
        <v>0</v>
      </c>
      <c r="I54" s="155">
        <f>VLOOKUP($B54,$AH:$CI,34,FALSE)</f>
        <v>0</v>
      </c>
      <c r="J54" s="155">
        <f t="shared" si="10"/>
        <v>0</v>
      </c>
      <c r="K54" s="155">
        <f>VLOOKUP($B54,$AH:$CI,36,FALSE)</f>
        <v>30329</v>
      </c>
      <c r="L54" s="155">
        <f t="shared" si="10"/>
        <v>0</v>
      </c>
      <c r="M54" s="155">
        <f>VLOOKUP($B54,$AH:$CI,38,FALSE)</f>
        <v>0</v>
      </c>
      <c r="N54" s="155">
        <f t="shared" si="10"/>
        <v>0</v>
      </c>
      <c r="O54" s="155">
        <f>VLOOKUP($B54,$AH:$CI,40,FALSE)</f>
        <v>0</v>
      </c>
      <c r="P54" s="155">
        <f t="shared" si="10"/>
        <v>0</v>
      </c>
      <c r="Q54" s="155">
        <f>VLOOKUP($B54,$AH:$CI,42,FALSE)</f>
        <v>251</v>
      </c>
      <c r="R54" s="155">
        <f t="shared" si="10"/>
        <v>0</v>
      </c>
      <c r="S54" s="155">
        <f>VLOOKUP($B54,$AH:$CI,44,FALSE)</f>
        <v>50546</v>
      </c>
      <c r="T54" s="155">
        <f t="shared" si="10"/>
        <v>0</v>
      </c>
      <c r="U54" s="155">
        <f>VLOOKUP($B54,$AH:$CI,46,FALSE)</f>
        <v>44678</v>
      </c>
      <c r="V54" s="155">
        <f t="shared" si="10"/>
        <v>0</v>
      </c>
      <c r="W54" s="155">
        <f>VLOOKUP($B54,$AH:$CI,48,FALSE)</f>
        <v>0</v>
      </c>
      <c r="X54" s="155">
        <f t="shared" si="10"/>
        <v>0</v>
      </c>
      <c r="Y54" s="155">
        <f>VLOOKUP($B54,$AH:$CI,50,FALSE)</f>
        <v>110</v>
      </c>
      <c r="Z54" s="155">
        <f t="shared" si="10"/>
        <v>0</v>
      </c>
      <c r="AA54" s="155">
        <f>VLOOKUP($B54,$AH:$CI,52,FALSE)</f>
        <v>0</v>
      </c>
      <c r="AB54" s="155"/>
      <c r="AC54" s="155">
        <f>VLOOKUP($B54,$AH:$CI,54,FALSE)</f>
        <v>639940</v>
      </c>
      <c r="AD54" s="121">
        <v>1046</v>
      </c>
      <c r="AE54" s="124">
        <f>AC54-CI48</f>
        <v>0</v>
      </c>
      <c r="AG54" s="85" t="s">
        <v>302</v>
      </c>
      <c r="AH54" s="254">
        <v>1051</v>
      </c>
      <c r="AI54" s="218">
        <f>'1. OŽ'!G73</f>
        <v>228709</v>
      </c>
      <c r="AK54" s="218">
        <f>'2. ŽO osim OŽ'!G73</f>
        <v>18315</v>
      </c>
      <c r="AM54" s="218">
        <f>'3. ŽO zbirno'!G73</f>
        <v>247024</v>
      </c>
      <c r="AO54" s="218">
        <f>'4. N i DZ'!G73</f>
        <v>71308</v>
      </c>
      <c r="AQ54" s="218">
        <f>'5. MV'!G73</f>
        <v>78995</v>
      </c>
      <c r="AS54" s="218">
        <f>'6. PO i TR'!G73</f>
        <v>17724</v>
      </c>
      <c r="AU54" s="218">
        <f>'7. VAZ'!G73</f>
        <v>3772</v>
      </c>
      <c r="AW54" s="218">
        <f>'8. IMOV'!G73</f>
        <v>367238</v>
      </c>
      <c r="AY54" s="218">
        <f>'9. ODG.'!G73</f>
        <v>532247</v>
      </c>
      <c r="BA54" s="218">
        <f>'10.KJ'!G73</f>
        <v>3929</v>
      </c>
      <c r="BC54" s="218">
        <f>'11. OST.'!G73</f>
        <v>23806</v>
      </c>
      <c r="BE54" s="218">
        <f>'12. NZZ'!G73</f>
        <v>1099019</v>
      </c>
      <c r="BG54" s="218">
        <f>'13. ukupno'!G73</f>
        <v>1346043</v>
      </c>
      <c r="BH54" s="124">
        <f t="shared" si="0"/>
        <v>0</v>
      </c>
      <c r="BI54" s="124">
        <f t="shared" si="1"/>
        <v>0</v>
      </c>
      <c r="BJ54" s="124">
        <f t="shared" si="2"/>
        <v>0</v>
      </c>
      <c r="BK54" s="120">
        <f>'1. OŽ'!H73</f>
        <v>0</v>
      </c>
      <c r="BM54" s="120">
        <f>'2. ŽO osim OŽ'!H73</f>
        <v>0</v>
      </c>
      <c r="BO54" s="120">
        <f>'3. ŽO zbirno'!H73</f>
        <v>0</v>
      </c>
      <c r="BQ54" s="120">
        <f>'4. N i DZ'!H73</f>
        <v>31654</v>
      </c>
      <c r="BS54" s="120">
        <f>'5. MV'!H73</f>
        <v>0</v>
      </c>
      <c r="BU54" s="120">
        <f>'6. PO i TR'!H73</f>
        <v>0</v>
      </c>
      <c r="BW54" s="120">
        <f>'7. VAZ'!H73</f>
        <v>2020</v>
      </c>
      <c r="BY54" s="120">
        <f>'8. IMOV'!H73</f>
        <v>120094</v>
      </c>
      <c r="CA54" s="120">
        <f>'9. ODG.'!H73</f>
        <v>138045</v>
      </c>
      <c r="CC54" s="120">
        <f>'10.KJ'!H73</f>
        <v>0</v>
      </c>
      <c r="CE54" s="120">
        <f>'11. OST.'!H73</f>
        <v>5681</v>
      </c>
      <c r="CG54" s="120">
        <f>'12. NZZ'!H73</f>
        <v>0</v>
      </c>
      <c r="CI54" s="120">
        <f>'13. ukupno'!H73</f>
        <v>701027</v>
      </c>
      <c r="CJ54" s="124">
        <f t="shared" si="3"/>
        <v>403533</v>
      </c>
      <c r="CK54" s="124">
        <f t="shared" si="4"/>
        <v>701027</v>
      </c>
    </row>
    <row r="55" spans="1:89" ht="25.5">
      <c r="B55" s="121">
        <v>1047</v>
      </c>
      <c r="C55" s="143" t="s">
        <v>375</v>
      </c>
      <c r="D55" s="153"/>
      <c r="E55" s="155">
        <f>-VLOOKUP($B55,$AH:$CI,30,FALSE)</f>
        <v>0</v>
      </c>
      <c r="F55" s="155">
        <f t="shared" ref="F55:Z56" si="11">VLOOKUP($B55,$AH:$CI,30,FALSE)</f>
        <v>0</v>
      </c>
      <c r="G55" s="155">
        <f>-VLOOKUP($B55,$AH:$CI,32,FALSE)</f>
        <v>0</v>
      </c>
      <c r="H55" s="155">
        <f t="shared" si="11"/>
        <v>0</v>
      </c>
      <c r="I55" s="155">
        <f>-VLOOKUP($B55,$AH:$CI,34,FALSE)</f>
        <v>0</v>
      </c>
      <c r="J55" s="155">
        <f t="shared" si="11"/>
        <v>0</v>
      </c>
      <c r="K55" s="155">
        <f>-VLOOKUP($B55,$AH:$CI,36,FALSE)</f>
        <v>-35163</v>
      </c>
      <c r="L55" s="155">
        <f t="shared" si="11"/>
        <v>0</v>
      </c>
      <c r="M55" s="155">
        <f>-VLOOKUP($B55,$AH:$CI,38,FALSE)</f>
        <v>0</v>
      </c>
      <c r="N55" s="155">
        <f t="shared" si="11"/>
        <v>0</v>
      </c>
      <c r="O55" s="155">
        <f>-VLOOKUP($B55,$AH:$CI,40,FALSE)</f>
        <v>0</v>
      </c>
      <c r="P55" s="155">
        <f t="shared" si="11"/>
        <v>0</v>
      </c>
      <c r="Q55" s="155">
        <f>-VLOOKUP($B55,$AH:$CI,42,FALSE)</f>
        <v>-2686</v>
      </c>
      <c r="R55" s="155">
        <f t="shared" si="11"/>
        <v>0</v>
      </c>
      <c r="S55" s="155">
        <f>-VLOOKUP($B55,$AH:$CI,44,FALSE)</f>
        <v>-368177</v>
      </c>
      <c r="T55" s="155">
        <f t="shared" si="11"/>
        <v>0</v>
      </c>
      <c r="U55" s="155">
        <f>-VLOOKUP($B55,$AH:$CI,46,FALSE)</f>
        <v>-9095</v>
      </c>
      <c r="V55" s="155">
        <f t="shared" si="11"/>
        <v>0</v>
      </c>
      <c r="W55" s="155">
        <f>-VLOOKUP($B55,$AH:$CI,48,FALSE)</f>
        <v>0</v>
      </c>
      <c r="X55" s="155">
        <f t="shared" si="11"/>
        <v>0</v>
      </c>
      <c r="Y55" s="155">
        <f>-VLOOKUP($B55,$AH:$CI,50,FALSE)</f>
        <v>-17285</v>
      </c>
      <c r="Z55" s="155">
        <f t="shared" si="11"/>
        <v>0</v>
      </c>
      <c r="AA55" s="155">
        <f>-VLOOKUP($B55,$AH:$CI,52,FALSE)</f>
        <v>0</v>
      </c>
      <c r="AB55" s="155"/>
      <c r="AC55" s="155">
        <f>-VLOOKUP($B55,$AH:$CI,54,FALSE)</f>
        <v>-537999</v>
      </c>
      <c r="AD55" s="121">
        <v>1047</v>
      </c>
      <c r="AE55" s="124">
        <f>AC55+CI49</f>
        <v>0</v>
      </c>
      <c r="AG55" s="85" t="s">
        <v>419</v>
      </c>
      <c r="AH55" s="256">
        <v>1052</v>
      </c>
      <c r="AI55" s="220">
        <f>'1. OŽ'!G74</f>
        <v>402</v>
      </c>
      <c r="AK55" s="220">
        <f>'2. ŽO osim OŽ'!G74</f>
        <v>32</v>
      </c>
      <c r="AM55" s="220">
        <f>'3. ŽO zbirno'!G74</f>
        <v>434</v>
      </c>
      <c r="AO55" s="220">
        <f>'4. N i DZ'!G74</f>
        <v>2139</v>
      </c>
      <c r="AQ55" s="220">
        <f>'5. MV'!G74</f>
        <v>2298</v>
      </c>
      <c r="AS55" s="220">
        <f>'6. PO i TR'!G74</f>
        <v>547</v>
      </c>
      <c r="AU55" s="220">
        <f>'7. VAZ'!G74</f>
        <v>105</v>
      </c>
      <c r="AW55" s="220">
        <f>'8. IMOV'!G74</f>
        <v>10886</v>
      </c>
      <c r="AY55" s="220">
        <f>'9. ODG.'!G74</f>
        <v>14782</v>
      </c>
      <c r="BA55" s="220">
        <f>'10.KJ'!G74</f>
        <v>118</v>
      </c>
      <c r="BC55" s="220">
        <f>'11. OST.'!G74</f>
        <v>613</v>
      </c>
      <c r="BE55" s="220">
        <f>'12. NZZ'!G74</f>
        <v>31488</v>
      </c>
      <c r="BG55" s="220">
        <f>'13. ukupno'!G74</f>
        <v>31922</v>
      </c>
      <c r="BH55" s="124">
        <f t="shared" si="0"/>
        <v>0</v>
      </c>
      <c r="BI55" s="124">
        <f t="shared" si="1"/>
        <v>0</v>
      </c>
      <c r="BJ55" s="124">
        <f t="shared" si="2"/>
        <v>0</v>
      </c>
      <c r="BK55" s="120">
        <f>'1. OŽ'!H74</f>
        <v>0</v>
      </c>
      <c r="BM55" s="120">
        <f>'2. ŽO osim OŽ'!H74</f>
        <v>0</v>
      </c>
      <c r="BO55" s="120">
        <f>'3. ŽO zbirno'!H74</f>
        <v>0</v>
      </c>
      <c r="BQ55" s="120">
        <f>'4. N i DZ'!H74</f>
        <v>5953</v>
      </c>
      <c r="BS55" s="120">
        <f>'5. MV'!H74</f>
        <v>0</v>
      </c>
      <c r="BU55" s="120">
        <f>'6. PO i TR'!H74</f>
        <v>0</v>
      </c>
      <c r="BW55" s="120">
        <f>'7. VAZ'!H74</f>
        <v>364</v>
      </c>
      <c r="BY55" s="120">
        <f>'8. IMOV'!H74</f>
        <v>22507</v>
      </c>
      <c r="CA55" s="120">
        <f>'9. ODG.'!H74</f>
        <v>26433</v>
      </c>
      <c r="CC55" s="120">
        <f>'10.KJ'!H74</f>
        <v>0</v>
      </c>
      <c r="CE55" s="120">
        <f>'11. OST.'!H74</f>
        <v>1413</v>
      </c>
      <c r="CG55" s="120">
        <f>'12. NZZ'!H74</f>
        <v>0</v>
      </c>
      <c r="CI55" s="120">
        <f>'13. ukupno'!H74</f>
        <v>65941</v>
      </c>
      <c r="CJ55" s="124">
        <f t="shared" si="3"/>
        <v>9271</v>
      </c>
      <c r="CK55" s="124">
        <f t="shared" si="4"/>
        <v>65941</v>
      </c>
    </row>
    <row r="56" spans="1:89" ht="25.5">
      <c r="B56" s="121">
        <v>1048</v>
      </c>
      <c r="C56" s="143" t="s">
        <v>373</v>
      </c>
      <c r="D56" s="153"/>
      <c r="E56" s="155">
        <f>VLOOKUP($B56,$AH:$CI,30,FALSE)</f>
        <v>0</v>
      </c>
      <c r="F56" s="155">
        <f t="shared" si="11"/>
        <v>0</v>
      </c>
      <c r="G56" s="155">
        <f>VLOOKUP($B56,$AH:$CI,32,FALSE)</f>
        <v>0</v>
      </c>
      <c r="H56" s="155">
        <f t="shared" si="11"/>
        <v>0</v>
      </c>
      <c r="I56" s="155">
        <f>VLOOKUP($B56,$AH:$CI,34,FALSE)</f>
        <v>0</v>
      </c>
      <c r="J56" s="155">
        <f t="shared" si="11"/>
        <v>0</v>
      </c>
      <c r="K56" s="155">
        <f>VLOOKUP($B56,$AH:$CI,36,FALSE)</f>
        <v>0</v>
      </c>
      <c r="L56" s="155">
        <f t="shared" si="11"/>
        <v>0</v>
      </c>
      <c r="M56" s="155">
        <f>VLOOKUP($B56,$AH:$CI,38,FALSE)</f>
        <v>0</v>
      </c>
      <c r="N56" s="155">
        <f t="shared" si="11"/>
        <v>0</v>
      </c>
      <c r="O56" s="155">
        <f>VLOOKUP($B56,$AH:$CI,40,FALSE)</f>
        <v>0</v>
      </c>
      <c r="P56" s="155">
        <f t="shared" si="11"/>
        <v>0</v>
      </c>
      <c r="Q56" s="155">
        <f>VLOOKUP($B56,$AH:$CI,42,FALSE)</f>
        <v>0</v>
      </c>
      <c r="R56" s="155">
        <f t="shared" si="11"/>
        <v>0</v>
      </c>
      <c r="S56" s="155">
        <f>VLOOKUP($B56,$AH:$CI,44,FALSE)</f>
        <v>0</v>
      </c>
      <c r="T56" s="155">
        <f t="shared" si="11"/>
        <v>0</v>
      </c>
      <c r="U56" s="155">
        <f>VLOOKUP($B56,$AH:$CI,46,FALSE)</f>
        <v>0</v>
      </c>
      <c r="V56" s="155">
        <f t="shared" si="11"/>
        <v>0</v>
      </c>
      <c r="W56" s="155">
        <f>VLOOKUP($B56,$AH:$CI,48,FALSE)</f>
        <v>0</v>
      </c>
      <c r="X56" s="155">
        <f t="shared" si="11"/>
        <v>0</v>
      </c>
      <c r="Y56" s="155">
        <f>VLOOKUP($B56,$AH:$CI,50,FALSE)</f>
        <v>0</v>
      </c>
      <c r="Z56" s="155">
        <f t="shared" si="11"/>
        <v>0</v>
      </c>
      <c r="AA56" s="155">
        <f>VLOOKUP($B56,$AH:$CI,52,FALSE)</f>
        <v>0</v>
      </c>
      <c r="AB56" s="155"/>
      <c r="AC56" s="155">
        <f>VLOOKUP($B56,$AH:$CI,54,FALSE)</f>
        <v>0</v>
      </c>
      <c r="AD56" s="121">
        <v>1048</v>
      </c>
      <c r="AE56" s="124">
        <f>AC56-CI50</f>
        <v>0</v>
      </c>
      <c r="AG56" s="39" t="s">
        <v>188</v>
      </c>
      <c r="AH56" s="256">
        <v>1053</v>
      </c>
      <c r="AI56" s="220">
        <f>'1. OŽ'!G75</f>
        <v>20361</v>
      </c>
      <c r="AK56" s="220">
        <f>'2. ŽO osim OŽ'!G75</f>
        <v>1547</v>
      </c>
      <c r="AM56" s="220">
        <f>'3. ŽO zbirno'!G75</f>
        <v>21908</v>
      </c>
      <c r="AO56" s="220">
        <f>'4. N i DZ'!G75</f>
        <v>10207</v>
      </c>
      <c r="AQ56" s="220">
        <f>'5. MV'!G75</f>
        <v>11337</v>
      </c>
      <c r="AS56" s="220">
        <f>'6. PO i TR'!G75</f>
        <v>2685</v>
      </c>
      <c r="AU56" s="220">
        <f>'7. VAZ'!G75</f>
        <v>545</v>
      </c>
      <c r="AW56" s="220">
        <f>'8. IMOV'!G75</f>
        <v>49281</v>
      </c>
      <c r="AY56" s="220">
        <f>'9. ODG.'!G75</f>
        <v>76560</v>
      </c>
      <c r="BA56" s="220">
        <f>'10.KJ'!G75</f>
        <v>403</v>
      </c>
      <c r="BC56" s="220">
        <f>'11. OST.'!G75</f>
        <v>2477</v>
      </c>
      <c r="BE56" s="220">
        <f>'12. NZZ'!G75</f>
        <v>153495</v>
      </c>
      <c r="BG56" s="220">
        <f>'13. ukupno'!G75</f>
        <v>175403</v>
      </c>
      <c r="BH56" s="124">
        <f t="shared" si="0"/>
        <v>0</v>
      </c>
      <c r="BI56" s="124">
        <f t="shared" si="1"/>
        <v>0</v>
      </c>
      <c r="BJ56" s="124">
        <f t="shared" si="2"/>
        <v>0</v>
      </c>
      <c r="BK56" s="120">
        <f>'1. OŽ'!H75</f>
        <v>0</v>
      </c>
      <c r="BM56" s="120">
        <f>'2. ŽO osim OŽ'!H75</f>
        <v>0</v>
      </c>
      <c r="BO56" s="120">
        <f>'3. ŽO zbirno'!H75</f>
        <v>0</v>
      </c>
      <c r="BQ56" s="120">
        <f>'4. N i DZ'!H75</f>
        <v>8818</v>
      </c>
      <c r="BS56" s="120">
        <f>'5. MV'!H75</f>
        <v>0</v>
      </c>
      <c r="BU56" s="120">
        <f>'6. PO i TR'!H75</f>
        <v>0</v>
      </c>
      <c r="BW56" s="120">
        <f>'7. VAZ'!H75</f>
        <v>539</v>
      </c>
      <c r="BY56" s="120">
        <f>'8. IMOV'!H75</f>
        <v>33108</v>
      </c>
      <c r="CA56" s="120">
        <f>'9. ODG.'!H75</f>
        <v>39743</v>
      </c>
      <c r="CC56" s="120">
        <f>'10.KJ'!H75</f>
        <v>0</v>
      </c>
      <c r="CE56" s="120">
        <f>'11. OST.'!H75</f>
        <v>2086</v>
      </c>
      <c r="CG56" s="120">
        <f>'12. NZZ'!H75</f>
        <v>0</v>
      </c>
      <c r="CI56" s="120">
        <f>'13. ukupno'!H75</f>
        <v>97913</v>
      </c>
      <c r="CJ56" s="124">
        <f t="shared" si="3"/>
        <v>13619</v>
      </c>
      <c r="CK56" s="124">
        <f t="shared" si="4"/>
        <v>97913</v>
      </c>
    </row>
    <row r="57" spans="1:89" ht="12.75">
      <c r="B57" s="121">
        <v>1016</v>
      </c>
      <c r="C57" s="143"/>
      <c r="D57" s="153"/>
      <c r="E57" s="153">
        <f>SUM(E50:E56)</f>
        <v>0</v>
      </c>
      <c r="F57" s="153">
        <f t="shared" ref="F57:AC57" si="12">SUM(F50:F56)</f>
        <v>0</v>
      </c>
      <c r="G57" s="151">
        <f t="shared" si="12"/>
        <v>0</v>
      </c>
      <c r="H57" s="153">
        <f t="shared" si="12"/>
        <v>0</v>
      </c>
      <c r="I57" s="151">
        <f t="shared" si="12"/>
        <v>0</v>
      </c>
      <c r="J57" s="153">
        <f t="shared" si="12"/>
        <v>0</v>
      </c>
      <c r="K57" s="152">
        <f t="shared" si="12"/>
        <v>-966199</v>
      </c>
      <c r="L57" s="153">
        <f t="shared" si="12"/>
        <v>0</v>
      </c>
      <c r="M57" s="151">
        <f t="shared" si="12"/>
        <v>0</v>
      </c>
      <c r="N57" s="153">
        <f t="shared" si="12"/>
        <v>0</v>
      </c>
      <c r="O57" s="153">
        <f t="shared" si="12"/>
        <v>0</v>
      </c>
      <c r="P57" s="153">
        <f t="shared" si="12"/>
        <v>0</v>
      </c>
      <c r="Q57" s="151">
        <f t="shared" si="12"/>
        <v>-23496</v>
      </c>
      <c r="R57" s="153">
        <f t="shared" si="12"/>
        <v>0</v>
      </c>
      <c r="S57" s="151">
        <f t="shared" si="12"/>
        <v>-2771881</v>
      </c>
      <c r="T57" s="153">
        <f t="shared" si="12"/>
        <v>0</v>
      </c>
      <c r="U57" s="151">
        <f t="shared" si="12"/>
        <v>-3460756</v>
      </c>
      <c r="V57" s="153">
        <f t="shared" si="12"/>
        <v>0</v>
      </c>
      <c r="W57" s="151">
        <f t="shared" si="12"/>
        <v>0</v>
      </c>
      <c r="X57" s="153">
        <f t="shared" si="12"/>
        <v>0</v>
      </c>
      <c r="Y57" s="151">
        <f t="shared" si="12"/>
        <v>-119761</v>
      </c>
      <c r="Z57" s="153">
        <f t="shared" si="12"/>
        <v>0</v>
      </c>
      <c r="AA57" s="152">
        <f t="shared" si="12"/>
        <v>0</v>
      </c>
      <c r="AB57" s="153">
        <f t="shared" si="12"/>
        <v>0</v>
      </c>
      <c r="AC57" s="151">
        <f t="shared" si="12"/>
        <v>-9885122</v>
      </c>
      <c r="AD57" s="121">
        <v>1016</v>
      </c>
      <c r="AE57" s="124">
        <f>AC57+CI18</f>
        <v>0</v>
      </c>
      <c r="AG57" s="39" t="s">
        <v>189</v>
      </c>
      <c r="AH57" s="256">
        <v>1054</v>
      </c>
      <c r="AI57" s="220">
        <f>'1. OŽ'!G76</f>
        <v>6352</v>
      </c>
      <c r="AK57" s="220">
        <f>'2. ŽO osim OŽ'!G76</f>
        <v>483</v>
      </c>
      <c r="AM57" s="220">
        <f>'3. ŽO zbirno'!G76</f>
        <v>6835</v>
      </c>
      <c r="AO57" s="220">
        <f>'4. N i DZ'!G76</f>
        <v>5879</v>
      </c>
      <c r="AQ57" s="220">
        <f>'5. MV'!G76</f>
        <v>6388</v>
      </c>
      <c r="AS57" s="220">
        <f>'6. PO i TR'!G76</f>
        <v>1480</v>
      </c>
      <c r="AU57" s="220">
        <f>'7. VAZ'!G76</f>
        <v>298</v>
      </c>
      <c r="AW57" s="220">
        <f>'8. IMOV'!G76</f>
        <v>29141</v>
      </c>
      <c r="AY57" s="220">
        <f>'9. ODG.'!G76</f>
        <v>41313</v>
      </c>
      <c r="BA57" s="220">
        <f>'10.KJ'!G76</f>
        <v>321</v>
      </c>
      <c r="BC57" s="220">
        <f>'11. OST.'!G76</f>
        <v>1592</v>
      </c>
      <c r="BE57" s="220">
        <f>'12. NZZ'!G76</f>
        <v>86412</v>
      </c>
      <c r="BG57" s="220">
        <f>'13. ukupno'!G76</f>
        <v>93247</v>
      </c>
      <c r="BH57" s="124">
        <f t="shared" si="0"/>
        <v>0</v>
      </c>
      <c r="BI57" s="124">
        <f t="shared" si="1"/>
        <v>0</v>
      </c>
      <c r="BJ57" s="124">
        <f t="shared" si="2"/>
        <v>0</v>
      </c>
      <c r="BK57" s="120">
        <f>'1. OŽ'!H76</f>
        <v>0</v>
      </c>
      <c r="BM57" s="120">
        <f>'2. ŽO osim OŽ'!H76</f>
        <v>0</v>
      </c>
      <c r="BO57" s="120">
        <f>'3. ŽO zbirno'!H76</f>
        <v>0</v>
      </c>
      <c r="BQ57" s="120">
        <f>'4. N i DZ'!H76</f>
        <v>8818</v>
      </c>
      <c r="BS57" s="120">
        <f>'5. MV'!H76</f>
        <v>0</v>
      </c>
      <c r="BU57" s="120">
        <f>'6. PO i TR'!H76</f>
        <v>0</v>
      </c>
      <c r="BW57" s="120">
        <f>'7. VAZ'!H76</f>
        <v>539</v>
      </c>
      <c r="BY57" s="120">
        <f>'8. IMOV'!H76</f>
        <v>33108</v>
      </c>
      <c r="CA57" s="120">
        <f>'9. ODG.'!H76</f>
        <v>39743</v>
      </c>
      <c r="CC57" s="120">
        <f>'10.KJ'!H76</f>
        <v>0</v>
      </c>
      <c r="CE57" s="120">
        <f>'11. OST.'!H76</f>
        <v>2086</v>
      </c>
      <c r="CG57" s="120">
        <f>'12. NZZ'!H76</f>
        <v>0</v>
      </c>
      <c r="CI57" s="120">
        <f>'13. ukupno'!H76</f>
        <v>96118</v>
      </c>
      <c r="CJ57" s="124">
        <f t="shared" si="3"/>
        <v>11824</v>
      </c>
      <c r="CK57" s="124">
        <f t="shared" si="4"/>
        <v>96118</v>
      </c>
    </row>
    <row r="58" spans="1:89" ht="25.5">
      <c r="B58" s="121">
        <v>1049</v>
      </c>
      <c r="C58" s="139" t="s">
        <v>370</v>
      </c>
      <c r="D58" s="153"/>
      <c r="E58" s="164">
        <f>E48+E57</f>
        <v>0</v>
      </c>
      <c r="F58" s="165">
        <f t="shared" ref="F58:AC58" si="13">F48+F57</f>
        <v>0</v>
      </c>
      <c r="G58" s="165">
        <f t="shared" si="13"/>
        <v>0</v>
      </c>
      <c r="H58" s="165">
        <f t="shared" si="13"/>
        <v>0</v>
      </c>
      <c r="I58" s="165">
        <f t="shared" si="13"/>
        <v>0</v>
      </c>
      <c r="J58" s="165">
        <f t="shared" si="13"/>
        <v>0</v>
      </c>
      <c r="K58" s="166">
        <f t="shared" si="13"/>
        <v>394413</v>
      </c>
      <c r="L58" s="165">
        <f t="shared" si="13"/>
        <v>0</v>
      </c>
      <c r="M58" s="165">
        <f t="shared" si="13"/>
        <v>0</v>
      </c>
      <c r="N58" s="165">
        <f t="shared" si="13"/>
        <v>0</v>
      </c>
      <c r="O58" s="164">
        <f t="shared" si="13"/>
        <v>0</v>
      </c>
      <c r="P58" s="165">
        <f t="shared" si="13"/>
        <v>0</v>
      </c>
      <c r="Q58" s="165">
        <f t="shared" si="13"/>
        <v>6675</v>
      </c>
      <c r="R58" s="165">
        <f t="shared" si="13"/>
        <v>0</v>
      </c>
      <c r="S58" s="164">
        <f t="shared" si="13"/>
        <v>1574985</v>
      </c>
      <c r="T58" s="165">
        <f t="shared" si="13"/>
        <v>0</v>
      </c>
      <c r="U58" s="164">
        <f t="shared" si="13"/>
        <v>2897081</v>
      </c>
      <c r="V58" s="165">
        <f t="shared" si="13"/>
        <v>0</v>
      </c>
      <c r="W58" s="165">
        <f t="shared" si="13"/>
        <v>0</v>
      </c>
      <c r="X58" s="165">
        <f t="shared" si="13"/>
        <v>0</v>
      </c>
      <c r="Y58" s="164">
        <f t="shared" si="13"/>
        <v>211945</v>
      </c>
      <c r="Z58" s="165">
        <f t="shared" si="13"/>
        <v>0</v>
      </c>
      <c r="AA58" s="164">
        <f t="shared" si="13"/>
        <v>0</v>
      </c>
      <c r="AB58" s="165">
        <f t="shared" si="13"/>
        <v>0</v>
      </c>
      <c r="AC58" s="165">
        <f t="shared" si="13"/>
        <v>5710630</v>
      </c>
      <c r="AD58" s="121">
        <v>1049</v>
      </c>
      <c r="AE58" s="124">
        <f>AC58-CI51</f>
        <v>0</v>
      </c>
      <c r="AG58" s="39" t="s">
        <v>193</v>
      </c>
      <c r="AH58" s="256">
        <v>1055</v>
      </c>
      <c r="AI58" s="220">
        <f>'1. OŽ'!G77</f>
        <v>13958</v>
      </c>
      <c r="AK58" s="220">
        <f>'2. ŽO osim OŽ'!G77</f>
        <v>1060</v>
      </c>
      <c r="AM58" s="220">
        <f>'3. ŽO zbirno'!G77</f>
        <v>15018</v>
      </c>
      <c r="AO58" s="220">
        <f>'4. N i DZ'!G77</f>
        <v>4277</v>
      </c>
      <c r="AQ58" s="220">
        <f>'5. MV'!G77</f>
        <v>4888</v>
      </c>
      <c r="AS58" s="220">
        <f>'6. PO i TR'!G77</f>
        <v>1198</v>
      </c>
      <c r="AU58" s="220">
        <f>'7. VAZ'!G77</f>
        <v>246</v>
      </c>
      <c r="AW58" s="220">
        <f>'8. IMOV'!G77</f>
        <v>19970</v>
      </c>
      <c r="AY58" s="220">
        <f>'9. ODG.'!G77</f>
        <v>35042</v>
      </c>
      <c r="BA58" s="220">
        <f>'10.KJ'!G77</f>
        <v>80</v>
      </c>
      <c r="BC58" s="220">
        <f>'11. OST.'!G77</f>
        <v>873</v>
      </c>
      <c r="BE58" s="220">
        <f>'12. NZZ'!G77</f>
        <v>66574</v>
      </c>
      <c r="BG58" s="220">
        <f>'13. ukupno'!G77</f>
        <v>81592</v>
      </c>
      <c r="BH58" s="124">
        <f t="shared" si="0"/>
        <v>0</v>
      </c>
      <c r="BI58" s="124">
        <f t="shared" si="1"/>
        <v>0</v>
      </c>
      <c r="BJ58" s="124">
        <f t="shared" si="2"/>
        <v>0</v>
      </c>
      <c r="BK58" s="120">
        <f>'1. OŽ'!H77</f>
        <v>0</v>
      </c>
      <c r="BM58" s="120">
        <f>'2. ŽO osim OŽ'!H77</f>
        <v>0</v>
      </c>
      <c r="BO58" s="120">
        <f>'3. ŽO zbirno'!H77</f>
        <v>0</v>
      </c>
      <c r="BQ58" s="120">
        <f>'4. N i DZ'!H77</f>
        <v>0</v>
      </c>
      <c r="BS58" s="120">
        <f>'5. MV'!H77</f>
        <v>0</v>
      </c>
      <c r="BU58" s="120">
        <f>'6. PO i TR'!H77</f>
        <v>0</v>
      </c>
      <c r="BW58" s="120">
        <f>'7. VAZ'!H77</f>
        <v>0</v>
      </c>
      <c r="BY58" s="120">
        <f>'8. IMOV'!H77</f>
        <v>0</v>
      </c>
      <c r="CA58" s="120">
        <f>'9. ODG.'!H77</f>
        <v>0</v>
      </c>
      <c r="CC58" s="120">
        <f>'10.KJ'!H77</f>
        <v>0</v>
      </c>
      <c r="CE58" s="120">
        <f>'11. OST.'!H77</f>
        <v>0</v>
      </c>
      <c r="CG58" s="120">
        <f>'12. NZZ'!H77</f>
        <v>0</v>
      </c>
      <c r="CI58" s="120">
        <f>'13. ukupno'!H77</f>
        <v>0</v>
      </c>
      <c r="CJ58" s="124">
        <f t="shared" si="3"/>
        <v>0</v>
      </c>
      <c r="CK58" s="124">
        <f t="shared" si="4"/>
        <v>0</v>
      </c>
    </row>
    <row r="59" spans="1:89" ht="25.5">
      <c r="C59" s="139" t="s">
        <v>368</v>
      </c>
      <c r="D59" s="153"/>
      <c r="E59" s="155"/>
      <c r="F59" s="155"/>
      <c r="G59" s="154"/>
      <c r="H59" s="155"/>
      <c r="I59" s="154"/>
      <c r="J59" s="155"/>
      <c r="K59" s="154"/>
      <c r="L59" s="155"/>
      <c r="M59" s="154"/>
      <c r="N59" s="155"/>
      <c r="O59" s="155"/>
      <c r="P59" s="155"/>
      <c r="Q59" s="154"/>
      <c r="R59" s="155"/>
      <c r="S59" s="155"/>
      <c r="T59" s="155"/>
      <c r="U59" s="155"/>
      <c r="V59" s="155"/>
      <c r="W59" s="154"/>
      <c r="X59" s="155"/>
      <c r="Y59" s="155"/>
      <c r="Z59" s="155"/>
      <c r="AA59" s="155"/>
      <c r="AB59" s="155"/>
      <c r="AC59" s="154"/>
      <c r="AD59" s="121"/>
      <c r="AE59" s="124"/>
      <c r="AG59" s="39" t="s">
        <v>196</v>
      </c>
      <c r="AH59" s="256">
        <v>1056</v>
      </c>
      <c r="AI59" s="220">
        <f>'1. OŽ'!G78</f>
        <v>51</v>
      </c>
      <c r="AK59" s="220">
        <f>'2. ŽO osim OŽ'!G78</f>
        <v>4</v>
      </c>
      <c r="AM59" s="220">
        <f>'3. ŽO zbirno'!G78</f>
        <v>55</v>
      </c>
      <c r="AO59" s="220">
        <f>'4. N i DZ'!G78</f>
        <v>51</v>
      </c>
      <c r="AQ59" s="220">
        <f>'5. MV'!G78</f>
        <v>61</v>
      </c>
      <c r="AS59" s="220">
        <f>'6. PO i TR'!G78</f>
        <v>7</v>
      </c>
      <c r="AU59" s="220">
        <f>'7. VAZ'!G78</f>
        <v>1</v>
      </c>
      <c r="AW59" s="220">
        <f>'8. IMOV'!G78</f>
        <v>170</v>
      </c>
      <c r="AY59" s="220">
        <f>'9. ODG.'!G78</f>
        <v>205</v>
      </c>
      <c r="BA59" s="220">
        <f>'10.KJ'!G78</f>
        <v>2</v>
      </c>
      <c r="BC59" s="220">
        <f>'11. OST.'!G78</f>
        <v>12</v>
      </c>
      <c r="BE59" s="220">
        <f>'12. NZZ'!G78</f>
        <v>509</v>
      </c>
      <c r="BG59" s="220">
        <f>'13. ukupno'!G78</f>
        <v>564</v>
      </c>
      <c r="BH59" s="124">
        <f t="shared" si="0"/>
        <v>0</v>
      </c>
      <c r="BI59" s="124">
        <f t="shared" si="1"/>
        <v>0</v>
      </c>
      <c r="BJ59" s="124">
        <f t="shared" si="2"/>
        <v>0</v>
      </c>
      <c r="BK59" s="120">
        <f>'1. OŽ'!H78</f>
        <v>0</v>
      </c>
      <c r="BM59" s="120">
        <f>'2. ŽO osim OŽ'!H78</f>
        <v>0</v>
      </c>
      <c r="BO59" s="120">
        <f>'3. ŽO zbirno'!H78</f>
        <v>0</v>
      </c>
      <c r="BQ59" s="120">
        <f>'4. N i DZ'!H78</f>
        <v>0</v>
      </c>
      <c r="BS59" s="120">
        <f>'5. MV'!H78</f>
        <v>0</v>
      </c>
      <c r="BU59" s="120">
        <f>'6. PO i TR'!H78</f>
        <v>0</v>
      </c>
      <c r="BW59" s="120">
        <f>'7. VAZ'!H78</f>
        <v>0</v>
      </c>
      <c r="BY59" s="120">
        <f>'8. IMOV'!H78</f>
        <v>0</v>
      </c>
      <c r="CA59" s="120">
        <f>'9. ODG.'!H78</f>
        <v>0</v>
      </c>
      <c r="CC59" s="120">
        <f>'10.KJ'!H78</f>
        <v>0</v>
      </c>
      <c r="CE59" s="120">
        <f>'11. OST.'!H78</f>
        <v>0</v>
      </c>
      <c r="CG59" s="120">
        <f>'12. NZZ'!H78</f>
        <v>0</v>
      </c>
      <c r="CI59" s="120">
        <f>'13. ukupno'!H78</f>
        <v>1795</v>
      </c>
      <c r="CJ59" s="124">
        <f t="shared" si="3"/>
        <v>1795</v>
      </c>
      <c r="CK59" s="124">
        <f t="shared" si="4"/>
        <v>1795</v>
      </c>
    </row>
    <row r="60" spans="1:89" ht="22.5">
      <c r="B60" s="121">
        <v>1051</v>
      </c>
      <c r="C60" s="143" t="s">
        <v>367</v>
      </c>
      <c r="D60" s="153"/>
      <c r="E60" s="155">
        <f>VLOOKUP($B60,$AH:$CI,30,FALSE)</f>
        <v>0</v>
      </c>
      <c r="F60" s="155">
        <f t="shared" ref="F60:Z60" si="14">VLOOKUP($B60,$AH:$CI,30,FALSE)</f>
        <v>0</v>
      </c>
      <c r="G60" s="155">
        <f>VLOOKUP($B60,$AH:$CI,32,FALSE)</f>
        <v>0</v>
      </c>
      <c r="H60" s="155">
        <f t="shared" si="14"/>
        <v>0</v>
      </c>
      <c r="I60" s="155">
        <f>VLOOKUP($B60,$AH:$CI,34,FALSE)</f>
        <v>0</v>
      </c>
      <c r="J60" s="155">
        <f t="shared" si="14"/>
        <v>0</v>
      </c>
      <c r="K60" s="155">
        <f>VLOOKUP($B60,$AH:$CI,36,FALSE)</f>
        <v>31654</v>
      </c>
      <c r="L60" s="155">
        <f t="shared" si="14"/>
        <v>0</v>
      </c>
      <c r="M60" s="155">
        <f>VLOOKUP($B60,$AH:$CI,38,FALSE)</f>
        <v>0</v>
      </c>
      <c r="N60" s="155">
        <f t="shared" si="14"/>
        <v>0</v>
      </c>
      <c r="O60" s="155">
        <f>VLOOKUP($B60,$AH:$CI,40,FALSE)</f>
        <v>0</v>
      </c>
      <c r="P60" s="155">
        <f t="shared" si="14"/>
        <v>0</v>
      </c>
      <c r="Q60" s="155">
        <f>VLOOKUP($B60,$AH:$CI,42,FALSE)</f>
        <v>2020</v>
      </c>
      <c r="R60" s="155">
        <f t="shared" si="14"/>
        <v>0</v>
      </c>
      <c r="S60" s="155">
        <f>VLOOKUP($B60,$AH:$CI,44,FALSE)</f>
        <v>120094</v>
      </c>
      <c r="T60" s="155">
        <f t="shared" si="14"/>
        <v>0</v>
      </c>
      <c r="U60" s="155">
        <f>VLOOKUP($B60,$AH:$CI,46,FALSE)</f>
        <v>138045</v>
      </c>
      <c r="V60" s="155">
        <f t="shared" si="14"/>
        <v>0</v>
      </c>
      <c r="W60" s="155">
        <f>VLOOKUP($B60,$AH:$CI,48,FALSE)</f>
        <v>0</v>
      </c>
      <c r="X60" s="155">
        <f t="shared" si="14"/>
        <v>0</v>
      </c>
      <c r="Y60" s="155">
        <f>VLOOKUP($B60,$AH:$CI,50,FALSE)</f>
        <v>5681</v>
      </c>
      <c r="Z60" s="155">
        <f t="shared" si="14"/>
        <v>0</v>
      </c>
      <c r="AA60" s="155">
        <f>VLOOKUP($B60,$AH:$CI,52,FALSE)</f>
        <v>0</v>
      </c>
      <c r="AB60" s="155"/>
      <c r="AC60" s="155">
        <f>VLOOKUP($B60,$AH:$CI,54,FALSE)</f>
        <v>701027</v>
      </c>
      <c r="AD60" s="121">
        <v>1051</v>
      </c>
      <c r="AE60" s="124">
        <f>AC60-CI54</f>
        <v>0</v>
      </c>
      <c r="AG60" s="39" t="s">
        <v>199</v>
      </c>
      <c r="AH60" s="256">
        <v>1057</v>
      </c>
      <c r="AI60" s="220">
        <f>'1. OŽ'!G79</f>
        <v>51652</v>
      </c>
      <c r="AK60" s="220">
        <f>'2. ŽO osim OŽ'!G79</f>
        <v>4124</v>
      </c>
      <c r="AM60" s="220">
        <f>'3. ŽO zbirno'!G79</f>
        <v>55776</v>
      </c>
      <c r="AO60" s="220">
        <f>'4. N i DZ'!G79</f>
        <v>7543</v>
      </c>
      <c r="AQ60" s="220">
        <f>'5. MV'!G79</f>
        <v>8193</v>
      </c>
      <c r="AS60" s="220">
        <f>'6. PO i TR'!G79</f>
        <v>1955</v>
      </c>
      <c r="AU60" s="220">
        <f>'7. VAZ'!G79</f>
        <v>382</v>
      </c>
      <c r="AW60" s="220">
        <f>'8. IMOV'!G79</f>
        <v>40588</v>
      </c>
      <c r="AY60" s="220">
        <f>'9. ODG.'!G79</f>
        <v>52797</v>
      </c>
      <c r="BA60" s="220">
        <f>'10.KJ'!G79</f>
        <v>458</v>
      </c>
      <c r="BC60" s="220">
        <f>'11. OST.'!G79</f>
        <v>2103</v>
      </c>
      <c r="BE60" s="220">
        <f>'12. NZZ'!G79</f>
        <v>114019</v>
      </c>
      <c r="BG60" s="220">
        <f>'13. ukupno'!G79</f>
        <v>169795</v>
      </c>
      <c r="BH60" s="124">
        <f t="shared" si="0"/>
        <v>0</v>
      </c>
      <c r="BI60" s="124">
        <f t="shared" si="1"/>
        <v>0</v>
      </c>
      <c r="BJ60" s="124">
        <f t="shared" si="2"/>
        <v>0</v>
      </c>
      <c r="BK60" s="120">
        <f>'1. OŽ'!H79</f>
        <v>0</v>
      </c>
      <c r="BM60" s="120">
        <f>'2. ŽO osim OŽ'!H79</f>
        <v>0</v>
      </c>
      <c r="BO60" s="120">
        <f>'3. ŽO zbirno'!H79</f>
        <v>0</v>
      </c>
      <c r="BQ60" s="120">
        <f>'4. N i DZ'!H79</f>
        <v>2403</v>
      </c>
      <c r="BS60" s="120">
        <f>'5. MV'!H79</f>
        <v>0</v>
      </c>
      <c r="BU60" s="120">
        <f>'6. PO i TR'!H79</f>
        <v>0</v>
      </c>
      <c r="BW60" s="120">
        <f>'7. VAZ'!H79</f>
        <v>159</v>
      </c>
      <c r="BY60" s="120">
        <f>'8. IMOV'!H79</f>
        <v>8779</v>
      </c>
      <c r="CA60" s="120">
        <f>'9. ODG.'!H79</f>
        <v>11107</v>
      </c>
      <c r="CC60" s="120">
        <f>'10.KJ'!H79</f>
        <v>0</v>
      </c>
      <c r="CE60" s="120">
        <f>'11. OST.'!H79</f>
        <v>336</v>
      </c>
      <c r="CG60" s="120">
        <f>'12. NZZ'!H79</f>
        <v>0</v>
      </c>
      <c r="CI60" s="120">
        <f>'13. ukupno'!H79</f>
        <v>29230</v>
      </c>
      <c r="CJ60" s="124">
        <f t="shared" si="3"/>
        <v>6446</v>
      </c>
      <c r="CK60" s="124">
        <f t="shared" si="4"/>
        <v>29230</v>
      </c>
    </row>
    <row r="61" spans="1:89" ht="38.25">
      <c r="B61" s="121">
        <v>1062</v>
      </c>
      <c r="C61" s="143" t="s">
        <v>365</v>
      </c>
      <c r="D61" s="153"/>
      <c r="E61" s="155">
        <f>-VLOOKUP($B61,$AH:$CI,30,FALSE)</f>
        <v>0</v>
      </c>
      <c r="F61" s="155">
        <f t="shared" ref="F61:Z61" si="15">VLOOKUP($B61,$AH:$CI,30,FALSE)</f>
        <v>0</v>
      </c>
      <c r="G61" s="155">
        <f>-VLOOKUP($B61,$AH:$CI,32,FALSE)</f>
        <v>0</v>
      </c>
      <c r="H61" s="155">
        <f t="shared" si="15"/>
        <v>0</v>
      </c>
      <c r="I61" s="155">
        <f>-VLOOKUP($B61,$AH:$CI,34,FALSE)</f>
        <v>0</v>
      </c>
      <c r="J61" s="155">
        <f t="shared" si="15"/>
        <v>0</v>
      </c>
      <c r="K61" s="155">
        <f>-VLOOKUP($B61,$AH:$CI,36,FALSE)</f>
        <v>-8674</v>
      </c>
      <c r="L61" s="155">
        <f t="shared" si="15"/>
        <v>0</v>
      </c>
      <c r="M61" s="155">
        <f>-VLOOKUP($B61,$AH:$CI,38,FALSE)</f>
        <v>0</v>
      </c>
      <c r="N61" s="155">
        <f t="shared" si="15"/>
        <v>0</v>
      </c>
      <c r="O61" s="155">
        <f>-VLOOKUP($B61,$AH:$CI,40,FALSE)</f>
        <v>0</v>
      </c>
      <c r="P61" s="155">
        <f t="shared" si="15"/>
        <v>0</v>
      </c>
      <c r="Q61" s="155">
        <f>-VLOOKUP($B61,$AH:$CI,42,FALSE)</f>
        <v>-524</v>
      </c>
      <c r="R61" s="155">
        <f t="shared" si="15"/>
        <v>0</v>
      </c>
      <c r="S61" s="155">
        <f>-VLOOKUP($B61,$AH:$CI,44,FALSE)</f>
        <v>-35160</v>
      </c>
      <c r="T61" s="155">
        <f t="shared" si="15"/>
        <v>0</v>
      </c>
      <c r="U61" s="155">
        <f>-VLOOKUP($B61,$AH:$CI,46,FALSE)</f>
        <v>-37156</v>
      </c>
      <c r="V61" s="155">
        <f t="shared" si="15"/>
        <v>0</v>
      </c>
      <c r="W61" s="155">
        <f>-VLOOKUP($B61,$AH:$CI,48,FALSE)</f>
        <v>0</v>
      </c>
      <c r="X61" s="155">
        <f t="shared" si="15"/>
        <v>0</v>
      </c>
      <c r="Y61" s="155">
        <f>-VLOOKUP($B61,$AH:$CI,50,FALSE)</f>
        <v>-1173</v>
      </c>
      <c r="Z61" s="155">
        <f t="shared" si="15"/>
        <v>0</v>
      </c>
      <c r="AA61" s="155">
        <f>-VLOOKUP($B61,$AH:$CI,52,FALSE)</f>
        <v>0</v>
      </c>
      <c r="AB61" s="155"/>
      <c r="AC61" s="155">
        <f>-VLOOKUP($B61,$AH:$CI,54,FALSE)</f>
        <v>-157618</v>
      </c>
      <c r="AD61" s="121">
        <v>1062</v>
      </c>
      <c r="AE61" s="124">
        <f>AC61+CI65</f>
        <v>0</v>
      </c>
      <c r="AG61" s="39" t="s">
        <v>202</v>
      </c>
      <c r="AH61" s="256">
        <v>1058</v>
      </c>
      <c r="AI61" s="220">
        <f>'1. OŽ'!G80</f>
        <v>84647</v>
      </c>
      <c r="AK61" s="220">
        <f>'2. ŽO osim OŽ'!G80</f>
        <v>6575</v>
      </c>
      <c r="AM61" s="220">
        <f>'3. ŽO zbirno'!G80</f>
        <v>91222</v>
      </c>
      <c r="AO61" s="220">
        <f>'4. N i DZ'!G80</f>
        <v>19117</v>
      </c>
      <c r="AQ61" s="220">
        <f>'5. MV'!G80</f>
        <v>22314</v>
      </c>
      <c r="AS61" s="220">
        <f>'6. PO i TR'!G80</f>
        <v>4964</v>
      </c>
      <c r="AU61" s="220">
        <f>'7. VAZ'!G80</f>
        <v>1070</v>
      </c>
      <c r="AW61" s="220">
        <f>'8. IMOV'!G80</f>
        <v>111679</v>
      </c>
      <c r="AY61" s="220">
        <f>'9. ODG.'!G80</f>
        <v>144656</v>
      </c>
      <c r="BA61" s="220">
        <f>'10.KJ'!G80</f>
        <v>776</v>
      </c>
      <c r="BC61" s="220">
        <f>'11. OST.'!G80</f>
        <v>7318</v>
      </c>
      <c r="BE61" s="220">
        <f>'12. NZZ'!G80</f>
        <v>311894</v>
      </c>
      <c r="BG61" s="220">
        <f>'13. ukupno'!G80</f>
        <v>403116</v>
      </c>
      <c r="BH61" s="124">
        <f t="shared" si="0"/>
        <v>0</v>
      </c>
      <c r="BI61" s="124">
        <f t="shared" si="1"/>
        <v>0</v>
      </c>
      <c r="BJ61" s="124">
        <f t="shared" si="2"/>
        <v>0</v>
      </c>
      <c r="BK61" s="120">
        <f>'1. OŽ'!H80</f>
        <v>0</v>
      </c>
      <c r="BM61" s="120">
        <f>'2. ŽO osim OŽ'!H80</f>
        <v>0</v>
      </c>
      <c r="BO61" s="120">
        <f>'3. ŽO zbirno'!H80</f>
        <v>0</v>
      </c>
      <c r="BQ61" s="120">
        <f>'4. N i DZ'!H80</f>
        <v>1168</v>
      </c>
      <c r="BS61" s="120">
        <f>'5. MV'!H80</f>
        <v>0</v>
      </c>
      <c r="BU61" s="120">
        <f>'6. PO i TR'!H80</f>
        <v>0</v>
      </c>
      <c r="BW61" s="120">
        <f>'7. VAZ'!H80</f>
        <v>115</v>
      </c>
      <c r="BY61" s="120">
        <f>'8. IMOV'!H80</f>
        <v>3405</v>
      </c>
      <c r="CA61" s="120">
        <f>'9. ODG.'!H80</f>
        <v>6967</v>
      </c>
      <c r="CC61" s="120">
        <f>'10.KJ'!H80</f>
        <v>0</v>
      </c>
      <c r="CE61" s="120">
        <f>'11. OST.'!H80</f>
        <v>322</v>
      </c>
      <c r="CG61" s="120">
        <f>'12. NZZ'!H80</f>
        <v>0</v>
      </c>
      <c r="CI61" s="120">
        <f>'13. ukupno'!H80</f>
        <v>82662</v>
      </c>
      <c r="CJ61" s="124">
        <f t="shared" si="3"/>
        <v>70685</v>
      </c>
      <c r="CK61" s="124">
        <f t="shared" si="4"/>
        <v>82662</v>
      </c>
    </row>
    <row r="62" spans="1:89" ht="22.5">
      <c r="B62" s="121" t="s">
        <v>410</v>
      </c>
      <c r="C62" s="139" t="s">
        <v>363</v>
      </c>
      <c r="D62" s="153"/>
      <c r="E62" s="167">
        <f>E61+E60</f>
        <v>0</v>
      </c>
      <c r="F62" s="168">
        <f t="shared" ref="F62:AC62" si="16">F61+F60</f>
        <v>0</v>
      </c>
      <c r="G62" s="169">
        <f t="shared" si="16"/>
        <v>0</v>
      </c>
      <c r="H62" s="168">
        <f t="shared" si="16"/>
        <v>0</v>
      </c>
      <c r="I62" s="169">
        <f t="shared" si="16"/>
        <v>0</v>
      </c>
      <c r="J62" s="168">
        <f t="shared" si="16"/>
        <v>0</v>
      </c>
      <c r="K62" s="167">
        <f t="shared" si="16"/>
        <v>22980</v>
      </c>
      <c r="L62" s="168">
        <f t="shared" si="16"/>
        <v>0</v>
      </c>
      <c r="M62" s="167">
        <f t="shared" si="16"/>
        <v>0</v>
      </c>
      <c r="N62" s="168">
        <f t="shared" si="16"/>
        <v>0</v>
      </c>
      <c r="O62" s="169">
        <f t="shared" si="16"/>
        <v>0</v>
      </c>
      <c r="P62" s="168">
        <f t="shared" si="16"/>
        <v>0</v>
      </c>
      <c r="Q62" s="169">
        <f t="shared" si="16"/>
        <v>1496</v>
      </c>
      <c r="R62" s="168">
        <f t="shared" si="16"/>
        <v>0</v>
      </c>
      <c r="S62" s="167">
        <f t="shared" si="16"/>
        <v>84934</v>
      </c>
      <c r="T62" s="168">
        <f t="shared" si="16"/>
        <v>0</v>
      </c>
      <c r="U62" s="169">
        <f t="shared" si="16"/>
        <v>100889</v>
      </c>
      <c r="V62" s="168">
        <f t="shared" si="16"/>
        <v>0</v>
      </c>
      <c r="W62" s="169">
        <f t="shared" si="16"/>
        <v>0</v>
      </c>
      <c r="X62" s="168">
        <f t="shared" si="16"/>
        <v>0</v>
      </c>
      <c r="Y62" s="169">
        <f t="shared" si="16"/>
        <v>4508</v>
      </c>
      <c r="Z62" s="168">
        <f t="shared" si="16"/>
        <v>0</v>
      </c>
      <c r="AA62" s="168">
        <f t="shared" si="16"/>
        <v>0</v>
      </c>
      <c r="AB62" s="168">
        <f t="shared" si="16"/>
        <v>0</v>
      </c>
      <c r="AC62" s="169">
        <f t="shared" si="16"/>
        <v>543409</v>
      </c>
      <c r="AD62" s="121" t="s">
        <v>410</v>
      </c>
      <c r="AE62" s="124">
        <f>AC62-CI74</f>
        <v>0</v>
      </c>
      <c r="AG62" s="39" t="s">
        <v>205</v>
      </c>
      <c r="AH62" s="256">
        <v>1059</v>
      </c>
      <c r="AI62" s="220">
        <f>'1. OŽ'!G81</f>
        <v>81</v>
      </c>
      <c r="AK62" s="220">
        <f>'2. ŽO osim OŽ'!G81</f>
        <v>13</v>
      </c>
      <c r="AM62" s="220">
        <f>'3. ŽO zbirno'!G81</f>
        <v>94</v>
      </c>
      <c r="AO62" s="220">
        <f>'4. N i DZ'!G81</f>
        <v>23713</v>
      </c>
      <c r="AQ62" s="220">
        <f>'5. MV'!G81</f>
        <v>25689</v>
      </c>
      <c r="AS62" s="220">
        <f>'6. PO i TR'!G81</f>
        <v>5465</v>
      </c>
      <c r="AU62" s="220">
        <f>'7. VAZ'!G81</f>
        <v>1094</v>
      </c>
      <c r="AW62" s="220">
        <f>'8. IMOV'!G81</f>
        <v>114805</v>
      </c>
      <c r="AY62" s="220">
        <f>'9. ODG.'!G81</f>
        <v>179101</v>
      </c>
      <c r="BA62" s="220">
        <f>'10.KJ'!G81</f>
        <v>1687</v>
      </c>
      <c r="BC62" s="220">
        <f>'11. OST.'!G81</f>
        <v>8442</v>
      </c>
      <c r="BE62" s="220">
        <f>'12. NZZ'!G81</f>
        <v>359996</v>
      </c>
      <c r="BG62" s="220">
        <f>'13. ukupno'!G81</f>
        <v>360090</v>
      </c>
      <c r="BH62" s="124">
        <f t="shared" si="0"/>
        <v>0</v>
      </c>
      <c r="BI62" s="124">
        <f t="shared" si="1"/>
        <v>0</v>
      </c>
      <c r="BJ62" s="124">
        <f t="shared" si="2"/>
        <v>0</v>
      </c>
      <c r="BK62" s="120">
        <f>'1. OŽ'!H81</f>
        <v>0</v>
      </c>
      <c r="BM62" s="120">
        <f>'2. ŽO osim OŽ'!H81</f>
        <v>0</v>
      </c>
      <c r="BO62" s="120">
        <f>'3. ŽO zbirno'!H81</f>
        <v>0</v>
      </c>
      <c r="BQ62" s="120">
        <f>'4. N i DZ'!H81</f>
        <v>84</v>
      </c>
      <c r="BS62" s="120">
        <f>'5. MV'!H81</f>
        <v>0</v>
      </c>
      <c r="BU62" s="120">
        <f>'6. PO i TR'!H81</f>
        <v>0</v>
      </c>
      <c r="BW62" s="120">
        <f>'7. VAZ'!H81</f>
        <v>3</v>
      </c>
      <c r="BY62" s="120">
        <f>'8. IMOV'!H81</f>
        <v>283</v>
      </c>
      <c r="CA62" s="120">
        <f>'9. ODG.'!H81</f>
        <v>504</v>
      </c>
      <c r="CC62" s="120">
        <f>'10.KJ'!H81</f>
        <v>0</v>
      </c>
      <c r="CE62" s="120">
        <f>'11. OST.'!H81</f>
        <v>14</v>
      </c>
      <c r="CG62" s="120">
        <f>'12. NZZ'!H81</f>
        <v>0</v>
      </c>
      <c r="CI62" s="120">
        <f>'13. ukupno'!H81</f>
        <v>983</v>
      </c>
      <c r="CJ62" s="124">
        <f t="shared" si="3"/>
        <v>95</v>
      </c>
      <c r="CK62" s="124">
        <f t="shared" si="4"/>
        <v>983</v>
      </c>
    </row>
    <row r="63" spans="1:89" ht="25.5">
      <c r="C63" s="139" t="s">
        <v>361</v>
      </c>
      <c r="D63" s="153"/>
      <c r="E63" s="154"/>
      <c r="F63" s="155"/>
      <c r="G63" s="155"/>
      <c r="H63" s="155"/>
      <c r="I63" s="155"/>
      <c r="J63" s="155"/>
      <c r="K63" s="154"/>
      <c r="L63" s="155"/>
      <c r="M63" s="154"/>
      <c r="N63" s="155"/>
      <c r="O63" s="155"/>
      <c r="P63" s="155"/>
      <c r="Q63" s="155"/>
      <c r="R63" s="155"/>
      <c r="S63" s="154"/>
      <c r="T63" s="155"/>
      <c r="U63" s="155"/>
      <c r="V63" s="155"/>
      <c r="W63" s="155"/>
      <c r="X63" s="155"/>
      <c r="Y63" s="155"/>
      <c r="Z63" s="155"/>
      <c r="AA63" s="154"/>
      <c r="AB63" s="155"/>
      <c r="AC63" s="155"/>
      <c r="AD63" s="121"/>
      <c r="AE63" s="124"/>
      <c r="AG63" s="39" t="s">
        <v>208</v>
      </c>
      <c r="AH63" s="256">
        <v>1060</v>
      </c>
      <c r="AI63" s="220">
        <f>'1. OŽ'!G82</f>
        <v>64227</v>
      </c>
      <c r="AK63" s="220">
        <f>'2. ŽO osim OŽ'!G82</f>
        <v>5438</v>
      </c>
      <c r="AM63" s="220">
        <f>'3. ŽO zbirno'!G82</f>
        <v>69665</v>
      </c>
      <c r="AO63" s="220">
        <f>'4. N i DZ'!G82</f>
        <v>5625</v>
      </c>
      <c r="AQ63" s="220">
        <f>'5. MV'!G82</f>
        <v>5917</v>
      </c>
      <c r="AS63" s="220">
        <f>'6. PO i TR'!G82</f>
        <v>1436</v>
      </c>
      <c r="AU63" s="220">
        <f>'7. VAZ'!G82</f>
        <v>431</v>
      </c>
      <c r="AW63" s="220">
        <f>'8. IMOV'!G82</f>
        <v>25287</v>
      </c>
      <c r="AY63" s="220">
        <f>'9. ODG.'!G82</f>
        <v>41882</v>
      </c>
      <c r="BA63" s="220">
        <f>'10.KJ'!G82</f>
        <v>276</v>
      </c>
      <c r="BC63" s="220">
        <f>'11. OST.'!G82</f>
        <v>968</v>
      </c>
      <c r="BE63" s="220">
        <f>'12. NZZ'!G82</f>
        <v>81822</v>
      </c>
      <c r="BG63" s="220">
        <f>'13. ukupno'!G82</f>
        <v>151487</v>
      </c>
      <c r="BH63" s="124">
        <f t="shared" si="0"/>
        <v>0</v>
      </c>
      <c r="BI63" s="124">
        <f t="shared" si="1"/>
        <v>0</v>
      </c>
      <c r="BJ63" s="124">
        <f t="shared" si="2"/>
        <v>0</v>
      </c>
      <c r="BK63" s="120">
        <f>'1. OŽ'!H82</f>
        <v>0</v>
      </c>
      <c r="BM63" s="120">
        <f>'2. ŽO osim OŽ'!H82</f>
        <v>0</v>
      </c>
      <c r="BO63" s="120">
        <f>'3. ŽO zbirno'!H82</f>
        <v>0</v>
      </c>
      <c r="BQ63" s="120">
        <f>'4. N i DZ'!H82</f>
        <v>13228</v>
      </c>
      <c r="BS63" s="120">
        <f>'5. MV'!H82</f>
        <v>0</v>
      </c>
      <c r="BU63" s="120">
        <f>'6. PO i TR'!H82</f>
        <v>0</v>
      </c>
      <c r="BW63" s="120">
        <f>'7. VAZ'!H82</f>
        <v>840</v>
      </c>
      <c r="BY63" s="120">
        <f>'8. IMOV'!H82</f>
        <v>52012</v>
      </c>
      <c r="CA63" s="120">
        <f>'9. ODG.'!H82</f>
        <v>53291</v>
      </c>
      <c r="CC63" s="120">
        <f>'10.KJ'!H82</f>
        <v>0</v>
      </c>
      <c r="CE63" s="120">
        <f>'11. OST.'!H82</f>
        <v>1510</v>
      </c>
      <c r="CG63" s="120">
        <f>'12. NZZ'!H82</f>
        <v>0</v>
      </c>
      <c r="CI63" s="120">
        <f>'13. ukupno'!H82</f>
        <v>424298</v>
      </c>
      <c r="CJ63" s="124">
        <f t="shared" si="3"/>
        <v>303417</v>
      </c>
      <c r="CK63" s="124">
        <f t="shared" si="4"/>
        <v>424298</v>
      </c>
    </row>
    <row r="64" spans="1:89" ht="12.75">
      <c r="B64" s="121">
        <v>1074</v>
      </c>
      <c r="C64" s="156" t="s">
        <v>360</v>
      </c>
      <c r="D64" s="153"/>
      <c r="E64" s="155">
        <f>-VLOOKUP($B64,$AH:$CI,30,FALSE)</f>
        <v>0</v>
      </c>
      <c r="F64" s="155">
        <f t="shared" ref="F64:Z67" si="17">VLOOKUP($B64,$AH:$CI,30,FALSE)</f>
        <v>0</v>
      </c>
      <c r="G64" s="155">
        <f>-VLOOKUP($B64,$AH:$CI,32,FALSE)</f>
        <v>0</v>
      </c>
      <c r="H64" s="155">
        <f t="shared" si="17"/>
        <v>0</v>
      </c>
      <c r="I64" s="155">
        <f>-VLOOKUP($B64,$AH:$CI,34,FALSE)</f>
        <v>0</v>
      </c>
      <c r="J64" s="155">
        <f t="shared" si="17"/>
        <v>0</v>
      </c>
      <c r="K64" s="155">
        <f>-VLOOKUP($B64,$AH:$CI,36,FALSE)</f>
        <v>-424744</v>
      </c>
      <c r="L64" s="155">
        <f t="shared" si="17"/>
        <v>0</v>
      </c>
      <c r="M64" s="155">
        <f>-VLOOKUP($B64,$AH:$CI,38,FALSE)</f>
        <v>0</v>
      </c>
      <c r="N64" s="155">
        <f t="shared" si="17"/>
        <v>0</v>
      </c>
      <c r="O64" s="155">
        <f>-VLOOKUP($B64,$AH:$CI,40,FALSE)</f>
        <v>0</v>
      </c>
      <c r="P64" s="155">
        <f t="shared" si="17"/>
        <v>0</v>
      </c>
      <c r="Q64" s="155">
        <f>-VLOOKUP($B64,$AH:$CI,42,FALSE)</f>
        <v>-12399</v>
      </c>
      <c r="R64" s="155">
        <f t="shared" si="17"/>
        <v>0</v>
      </c>
      <c r="S64" s="155">
        <f>-VLOOKUP($B64,$AH:$CI,44,FALSE)</f>
        <v>-1350272</v>
      </c>
      <c r="T64" s="155">
        <f t="shared" si="17"/>
        <v>0</v>
      </c>
      <c r="U64" s="155">
        <f>-VLOOKUP($B64,$AH:$CI,46,FALSE)</f>
        <v>-2180149</v>
      </c>
      <c r="V64" s="155">
        <f t="shared" si="17"/>
        <v>0</v>
      </c>
      <c r="W64" s="155">
        <f>-VLOOKUP($B64,$AH:$CI,48,FALSE)</f>
        <v>0</v>
      </c>
      <c r="X64" s="155">
        <f t="shared" si="17"/>
        <v>0</v>
      </c>
      <c r="Y64" s="155">
        <f>-VLOOKUP($B64,$AH:$CI,50,FALSE)</f>
        <v>-170204</v>
      </c>
      <c r="Z64" s="155">
        <f t="shared" si="17"/>
        <v>0</v>
      </c>
      <c r="AA64" s="155">
        <f>-VLOOKUP($B64,$AH:$CI,52,FALSE)</f>
        <v>0</v>
      </c>
      <c r="AB64" s="155"/>
      <c r="AC64" s="155">
        <f>-VLOOKUP($B64,$AH:$CI,54,FALSE)</f>
        <v>-5110192</v>
      </c>
      <c r="AD64" s="121">
        <v>1074</v>
      </c>
      <c r="AE64" s="124">
        <f>AC64+CI77</f>
        <v>0</v>
      </c>
      <c r="AG64" s="39" t="s">
        <v>211</v>
      </c>
      <c r="AH64" s="256">
        <v>1061</v>
      </c>
      <c r="AI64" s="220">
        <f>'1. OŽ'!G83</f>
        <v>7339</v>
      </c>
      <c r="AK64" s="220">
        <f>'2. ŽO osim OŽ'!G83</f>
        <v>586</v>
      </c>
      <c r="AM64" s="220">
        <f>'3. ŽO zbirno'!G83</f>
        <v>7925</v>
      </c>
      <c r="AO64" s="220">
        <f>'4. N i DZ'!G83</f>
        <v>2964</v>
      </c>
      <c r="AQ64" s="220">
        <f>'5. MV'!G83</f>
        <v>3247</v>
      </c>
      <c r="AS64" s="220">
        <f>'6. PO i TR'!G83</f>
        <v>672</v>
      </c>
      <c r="AU64" s="220">
        <f>'7. VAZ'!G83</f>
        <v>145</v>
      </c>
      <c r="AW64" s="220">
        <f>'8. IMOV'!G83</f>
        <v>14712</v>
      </c>
      <c r="AY64" s="220">
        <f>'9. ODG.'!G83</f>
        <v>22469</v>
      </c>
      <c r="BA64" s="220">
        <f>'10.KJ'!G83</f>
        <v>211</v>
      </c>
      <c r="BC64" s="220">
        <f>'11. OST.'!G83</f>
        <v>1885</v>
      </c>
      <c r="BE64" s="220">
        <f>'12. NZZ'!G83</f>
        <v>46305</v>
      </c>
      <c r="BG64" s="220">
        <f>'13. ukupno'!G83</f>
        <v>54230</v>
      </c>
      <c r="BH64" s="124">
        <f t="shared" si="0"/>
        <v>0</v>
      </c>
      <c r="BI64" s="124">
        <f t="shared" si="1"/>
        <v>0</v>
      </c>
      <c r="BJ64" s="124">
        <f t="shared" si="2"/>
        <v>0</v>
      </c>
      <c r="BK64" s="120">
        <f>'1. OŽ'!H83</f>
        <v>0</v>
      </c>
      <c r="BM64" s="120">
        <f>'2. ŽO osim OŽ'!H83</f>
        <v>0</v>
      </c>
      <c r="BO64" s="120">
        <f>'3. ŽO zbirno'!H83</f>
        <v>0</v>
      </c>
      <c r="BQ64" s="120">
        <f>'4. N i DZ'!H83</f>
        <v>0</v>
      </c>
      <c r="BS64" s="120">
        <f>'5. MV'!H83</f>
        <v>0</v>
      </c>
      <c r="BU64" s="120">
        <f>'6. PO i TR'!H83</f>
        <v>0</v>
      </c>
      <c r="BW64" s="120">
        <f>'7. VAZ'!H83</f>
        <v>0</v>
      </c>
      <c r="BY64" s="120">
        <f>'8. IMOV'!H83</f>
        <v>0</v>
      </c>
      <c r="CA64" s="120">
        <f>'9. ODG.'!H83</f>
        <v>0</v>
      </c>
      <c r="CC64" s="120">
        <f>'10.KJ'!H83</f>
        <v>0</v>
      </c>
      <c r="CE64" s="120">
        <f>'11. OST.'!H83</f>
        <v>0</v>
      </c>
      <c r="CG64" s="120">
        <f>'12. NZZ'!H83</f>
        <v>0</v>
      </c>
      <c r="CI64" s="120">
        <f>'13. ukupno'!H83</f>
        <v>0</v>
      </c>
      <c r="CJ64" s="124">
        <f t="shared" si="3"/>
        <v>0</v>
      </c>
      <c r="CK64" s="124">
        <f t="shared" si="4"/>
        <v>0</v>
      </c>
    </row>
    <row r="65" spans="1:89" ht="38.25">
      <c r="B65" s="121">
        <v>1079</v>
      </c>
      <c r="C65" s="156" t="s">
        <v>358</v>
      </c>
      <c r="D65" s="153"/>
      <c r="E65" s="155">
        <f>-VLOOKUP($B65,$AH:$CI,30,FALSE)</f>
        <v>0</v>
      </c>
      <c r="F65" s="155">
        <f t="shared" si="17"/>
        <v>0</v>
      </c>
      <c r="G65" s="155">
        <f>-VLOOKUP($B65,$AH:$CI,32,FALSE)</f>
        <v>0</v>
      </c>
      <c r="H65" s="155">
        <f t="shared" si="17"/>
        <v>0</v>
      </c>
      <c r="I65" s="155">
        <f>-VLOOKUP($B65,$AH:$CI,34,FALSE)</f>
        <v>0</v>
      </c>
      <c r="J65" s="155">
        <f t="shared" si="17"/>
        <v>0</v>
      </c>
      <c r="K65" s="155">
        <f>-VLOOKUP($B65,$AH:$CI,36,FALSE)</f>
        <v>-215600</v>
      </c>
      <c r="L65" s="155">
        <f t="shared" si="17"/>
        <v>0</v>
      </c>
      <c r="M65" s="155">
        <f>-VLOOKUP($B65,$AH:$CI,38,FALSE)</f>
        <v>0</v>
      </c>
      <c r="N65" s="155">
        <f t="shared" si="17"/>
        <v>0</v>
      </c>
      <c r="O65" s="155">
        <f>-VLOOKUP($B65,$AH:$CI,40,FALSE)</f>
        <v>0</v>
      </c>
      <c r="P65" s="155">
        <f t="shared" si="17"/>
        <v>0</v>
      </c>
      <c r="Q65" s="155">
        <f>-VLOOKUP($B65,$AH:$CI,42,FALSE)</f>
        <v>-13210</v>
      </c>
      <c r="R65" s="155">
        <f t="shared" si="17"/>
        <v>0</v>
      </c>
      <c r="S65" s="155">
        <f>-VLOOKUP($B65,$AH:$CI,44,FALSE)</f>
        <v>-808363</v>
      </c>
      <c r="T65" s="155">
        <f t="shared" si="17"/>
        <v>0</v>
      </c>
      <c r="U65" s="155">
        <f>-VLOOKUP($B65,$AH:$CI,46,FALSE)</f>
        <v>-984363</v>
      </c>
      <c r="V65" s="155">
        <f t="shared" si="17"/>
        <v>0</v>
      </c>
      <c r="W65" s="155">
        <f>-VLOOKUP($B65,$AH:$CI,48,FALSE)</f>
        <v>0</v>
      </c>
      <c r="X65" s="155">
        <f t="shared" si="17"/>
        <v>0</v>
      </c>
      <c r="Y65" s="155">
        <f>-VLOOKUP($B65,$AH:$CI,50,FALSE)</f>
        <v>-52015</v>
      </c>
      <c r="Z65" s="155">
        <f t="shared" si="17"/>
        <v>0</v>
      </c>
      <c r="AA65" s="155">
        <f>-VLOOKUP($B65,$AH:$CI,52,FALSE)</f>
        <v>0</v>
      </c>
      <c r="AB65" s="155"/>
      <c r="AC65" s="155">
        <f>-VLOOKUP($B65,$AH:$CI,54,FALSE)</f>
        <v>-2413594</v>
      </c>
      <c r="AD65" s="121">
        <v>1079</v>
      </c>
      <c r="AE65" s="124">
        <f>AC65+CI82</f>
        <v>0</v>
      </c>
      <c r="AG65" s="85" t="s">
        <v>303</v>
      </c>
      <c r="AH65" s="254">
        <v>1062</v>
      </c>
      <c r="AI65" s="218">
        <f>'1. OŽ'!G84</f>
        <v>147673</v>
      </c>
      <c r="AK65" s="218">
        <f>'2. ŽO osim OŽ'!G84</f>
        <v>11625</v>
      </c>
      <c r="AM65" s="218">
        <f>'3. ŽO zbirno'!G84</f>
        <v>159298</v>
      </c>
      <c r="AO65" s="218">
        <f>'4. N i DZ'!G84</f>
        <v>30103</v>
      </c>
      <c r="AQ65" s="218">
        <f>'5. MV'!G84</f>
        <v>33917</v>
      </c>
      <c r="AS65" s="218">
        <f>'6. PO i TR'!G84</f>
        <v>8383</v>
      </c>
      <c r="AU65" s="218">
        <f>'7. VAZ'!G84</f>
        <v>1756</v>
      </c>
      <c r="AW65" s="218">
        <f>'8. IMOV'!G84</f>
        <v>148751</v>
      </c>
      <c r="AY65" s="218">
        <f>'9. ODG.'!G84</f>
        <v>237955</v>
      </c>
      <c r="BA65" s="218">
        <f>'10.KJ'!G84</f>
        <v>538</v>
      </c>
      <c r="BC65" s="218">
        <f>'11. OST.'!G84</f>
        <v>6851</v>
      </c>
      <c r="BE65" s="218">
        <f>'12. NZZ'!G84</f>
        <v>468254</v>
      </c>
      <c r="BG65" s="218">
        <f>'13. ukupno'!G84</f>
        <v>627552</v>
      </c>
      <c r="BH65" s="124">
        <f t="shared" si="0"/>
        <v>0</v>
      </c>
      <c r="BI65" s="124">
        <f t="shared" si="1"/>
        <v>0</v>
      </c>
      <c r="BJ65" s="124">
        <f t="shared" si="2"/>
        <v>0</v>
      </c>
      <c r="BK65" s="120">
        <f>'1. OŽ'!H84</f>
        <v>0</v>
      </c>
      <c r="BM65" s="120">
        <f>'2. ŽO osim OŽ'!H84</f>
        <v>0</v>
      </c>
      <c r="BO65" s="120">
        <f>'3. ŽO zbirno'!H84</f>
        <v>0</v>
      </c>
      <c r="BQ65" s="120">
        <f>'4. N i DZ'!H84</f>
        <v>8674</v>
      </c>
      <c r="BS65" s="120">
        <f>'5. MV'!H84</f>
        <v>0</v>
      </c>
      <c r="BU65" s="120">
        <f>'6. PO i TR'!H84</f>
        <v>0</v>
      </c>
      <c r="BW65" s="120">
        <f>'7. VAZ'!H84</f>
        <v>524</v>
      </c>
      <c r="BY65" s="120">
        <f>'8. IMOV'!H84</f>
        <v>35160</v>
      </c>
      <c r="CA65" s="120">
        <f>'9. ODG.'!H84</f>
        <v>37156</v>
      </c>
      <c r="CC65" s="120">
        <f>'10.KJ'!H84</f>
        <v>0</v>
      </c>
      <c r="CE65" s="120">
        <f>'11. OST.'!H84</f>
        <v>1173</v>
      </c>
      <c r="CG65" s="120">
        <f>'12. NZZ'!H84</f>
        <v>0</v>
      </c>
      <c r="CI65" s="120">
        <f>'13. ukupno'!H84</f>
        <v>157618</v>
      </c>
      <c r="CJ65" s="124">
        <f t="shared" si="3"/>
        <v>74931</v>
      </c>
      <c r="CK65" s="124">
        <f t="shared" si="4"/>
        <v>157618</v>
      </c>
    </row>
    <row r="66" spans="1:89" ht="25.5">
      <c r="B66" s="121">
        <v>1084</v>
      </c>
      <c r="C66" s="156" t="s">
        <v>356</v>
      </c>
      <c r="D66" s="153"/>
      <c r="E66" s="155">
        <f>-VLOOKUP($B66,$AH:$CI,30,FALSE)</f>
        <v>0</v>
      </c>
      <c r="F66" s="155">
        <f t="shared" si="17"/>
        <v>0</v>
      </c>
      <c r="G66" s="155">
        <f>-VLOOKUP($B66,$AH:$CI,32,FALSE)</f>
        <v>0</v>
      </c>
      <c r="H66" s="155">
        <f t="shared" si="17"/>
        <v>0</v>
      </c>
      <c r="I66" s="155">
        <f>-VLOOKUP($B66,$AH:$CI,34,FALSE)</f>
        <v>0</v>
      </c>
      <c r="J66" s="155">
        <f t="shared" si="17"/>
        <v>0</v>
      </c>
      <c r="K66" s="155">
        <f>-VLOOKUP($B66,$AH:$CI,36,FALSE)</f>
        <v>-12227</v>
      </c>
      <c r="L66" s="155">
        <f t="shared" si="17"/>
        <v>0</v>
      </c>
      <c r="M66" s="155">
        <f>-VLOOKUP($B66,$AH:$CI,38,FALSE)</f>
        <v>0</v>
      </c>
      <c r="N66" s="155">
        <f t="shared" si="17"/>
        <v>0</v>
      </c>
      <c r="O66" s="155">
        <f>-VLOOKUP($B66,$AH:$CI,40,FALSE)</f>
        <v>0</v>
      </c>
      <c r="P66" s="155">
        <f t="shared" si="17"/>
        <v>0</v>
      </c>
      <c r="Q66" s="155">
        <f>-VLOOKUP($B66,$AH:$CI,42,FALSE)</f>
        <v>-620</v>
      </c>
      <c r="R66" s="155">
        <f t="shared" si="17"/>
        <v>0</v>
      </c>
      <c r="S66" s="155">
        <f>-VLOOKUP($B66,$AH:$CI,44,FALSE)</f>
        <v>-44157</v>
      </c>
      <c r="T66" s="155">
        <f t="shared" si="17"/>
        <v>0</v>
      </c>
      <c r="U66" s="155">
        <f>-VLOOKUP($B66,$AH:$CI,46,FALSE)</f>
        <v>-53424</v>
      </c>
      <c r="V66" s="155">
        <f t="shared" si="17"/>
        <v>0</v>
      </c>
      <c r="W66" s="155">
        <f>-VLOOKUP($B66,$AH:$CI,48,FALSE)</f>
        <v>0</v>
      </c>
      <c r="X66" s="155">
        <f t="shared" si="17"/>
        <v>0</v>
      </c>
      <c r="Y66" s="155">
        <f>-VLOOKUP($B66,$AH:$CI,50,FALSE)</f>
        <v>-3099</v>
      </c>
      <c r="Z66" s="155">
        <f t="shared" si="17"/>
        <v>0</v>
      </c>
      <c r="AA66" s="155">
        <f>-VLOOKUP($B66,$AH:$CI,52,FALSE)</f>
        <v>0</v>
      </c>
      <c r="AB66" s="155"/>
      <c r="AC66" s="155">
        <f>-VLOOKUP($B66,$AH:$CI,54,FALSE)</f>
        <v>-90708</v>
      </c>
      <c r="AD66" s="121">
        <v>1084</v>
      </c>
      <c r="AE66" s="124">
        <f>AC66+CI87</f>
        <v>0</v>
      </c>
      <c r="AG66" s="39" t="s">
        <v>215</v>
      </c>
      <c r="AH66" s="256">
        <v>1063</v>
      </c>
      <c r="AI66" s="220">
        <f>'1. OŽ'!G85</f>
        <v>0</v>
      </c>
      <c r="AK66" s="220">
        <f>'2. ŽO osim OŽ'!G85</f>
        <v>0</v>
      </c>
      <c r="AM66" s="220">
        <f>'3. ŽO zbirno'!G85</f>
        <v>0</v>
      </c>
      <c r="AO66" s="220">
        <f>'4. N i DZ'!G85</f>
        <v>0</v>
      </c>
      <c r="AQ66" s="220">
        <f>'5. MV'!G85</f>
        <v>0</v>
      </c>
      <c r="AS66" s="220">
        <f>'6. PO i TR'!G85</f>
        <v>0</v>
      </c>
      <c r="AU66" s="220">
        <f>'7. VAZ'!G85</f>
        <v>0</v>
      </c>
      <c r="AW66" s="220">
        <f>'8. IMOV'!G85</f>
        <v>0</v>
      </c>
      <c r="AY66" s="220">
        <f>'9. ODG.'!G85</f>
        <v>0</v>
      </c>
      <c r="BA66" s="220">
        <f>'10.KJ'!G85</f>
        <v>0</v>
      </c>
      <c r="BC66" s="220">
        <f>'11. OST.'!G85</f>
        <v>0</v>
      </c>
      <c r="BE66" s="220">
        <f>'12. NZZ'!G85</f>
        <v>0</v>
      </c>
      <c r="BG66" s="220">
        <f>'13. ukupno'!G85</f>
        <v>0</v>
      </c>
      <c r="BH66" s="124">
        <f t="shared" si="0"/>
        <v>0</v>
      </c>
      <c r="BI66" s="124">
        <f t="shared" si="1"/>
        <v>0</v>
      </c>
      <c r="BJ66" s="124">
        <f t="shared" si="2"/>
        <v>0</v>
      </c>
      <c r="BK66" s="120">
        <f>'1. OŽ'!H85</f>
        <v>0</v>
      </c>
      <c r="BM66" s="120">
        <f>'2. ŽO osim OŽ'!H85</f>
        <v>0</v>
      </c>
      <c r="BO66" s="120">
        <f>'3. ŽO zbirno'!H85</f>
        <v>0</v>
      </c>
      <c r="BQ66" s="120">
        <f>'4. N i DZ'!H85</f>
        <v>0</v>
      </c>
      <c r="BS66" s="120">
        <f>'5. MV'!H85</f>
        <v>0</v>
      </c>
      <c r="BU66" s="120">
        <f>'6. PO i TR'!H85</f>
        <v>0</v>
      </c>
      <c r="BW66" s="120">
        <f>'7. VAZ'!H85</f>
        <v>0</v>
      </c>
      <c r="BY66" s="120">
        <f>'8. IMOV'!H85</f>
        <v>0</v>
      </c>
      <c r="CA66" s="120">
        <f>'9. ODG.'!H85</f>
        <v>0</v>
      </c>
      <c r="CC66" s="120">
        <f>'10.KJ'!H85</f>
        <v>0</v>
      </c>
      <c r="CE66" s="120">
        <f>'11. OST.'!H85</f>
        <v>0</v>
      </c>
      <c r="CG66" s="120">
        <f>'12. NZZ'!H85</f>
        <v>0</v>
      </c>
      <c r="CI66" s="120">
        <f>'13. ukupno'!H85</f>
        <v>0</v>
      </c>
      <c r="CJ66" s="124">
        <f t="shared" si="3"/>
        <v>0</v>
      </c>
      <c r="CK66" s="124">
        <f t="shared" si="4"/>
        <v>0</v>
      </c>
    </row>
    <row r="67" spans="1:89" ht="25.5">
      <c r="B67" s="121">
        <v>1085</v>
      </c>
      <c r="C67" s="156" t="s">
        <v>354</v>
      </c>
      <c r="D67" s="153"/>
      <c r="E67" s="155">
        <f>VLOOKUP($B67,$AH:$CI,30,FALSE)</f>
        <v>0</v>
      </c>
      <c r="F67" s="155">
        <f t="shared" si="17"/>
        <v>0</v>
      </c>
      <c r="G67" s="155">
        <f>VLOOKUP($B67,$AH:$CI,32,FALSE)</f>
        <v>0</v>
      </c>
      <c r="H67" s="155">
        <f t="shared" si="17"/>
        <v>0</v>
      </c>
      <c r="I67" s="155">
        <f>VLOOKUP($B67,$AH:$CI,34,FALSE)</f>
        <v>0</v>
      </c>
      <c r="J67" s="155">
        <f t="shared" si="17"/>
        <v>0</v>
      </c>
      <c r="K67" s="155">
        <f>VLOOKUP($B67,$AH:$CI,36,FALSE)</f>
        <v>0</v>
      </c>
      <c r="L67" s="155">
        <f t="shared" si="17"/>
        <v>0</v>
      </c>
      <c r="M67" s="155">
        <f>VLOOKUP($B67,$AH:$CI,38,FALSE)</f>
        <v>0</v>
      </c>
      <c r="N67" s="155">
        <f t="shared" si="17"/>
        <v>0</v>
      </c>
      <c r="O67" s="155">
        <f>VLOOKUP($B67,$AH:$CI,40,FALSE)</f>
        <v>0</v>
      </c>
      <c r="P67" s="155">
        <f t="shared" si="17"/>
        <v>0</v>
      </c>
      <c r="Q67" s="155">
        <f>VLOOKUP($B67,$AH:$CI,42,FALSE)</f>
        <v>1070</v>
      </c>
      <c r="R67" s="155">
        <f t="shared" si="17"/>
        <v>0</v>
      </c>
      <c r="S67" s="155">
        <f>VLOOKUP($B67,$AH:$CI,44,FALSE)</f>
        <v>64405</v>
      </c>
      <c r="T67" s="155">
        <f t="shared" si="17"/>
        <v>0</v>
      </c>
      <c r="U67" s="155">
        <f>VLOOKUP($B67,$AH:$CI,46,FALSE)</f>
        <v>9219</v>
      </c>
      <c r="V67" s="155">
        <f t="shared" si="17"/>
        <v>0</v>
      </c>
      <c r="W67" s="155">
        <f>VLOOKUP($B67,$AH:$CI,48,FALSE)</f>
        <v>0</v>
      </c>
      <c r="X67" s="155">
        <f t="shared" si="17"/>
        <v>0</v>
      </c>
      <c r="Y67" s="155">
        <f>VLOOKUP($B67,$AH:$CI,50,FALSE)</f>
        <v>0</v>
      </c>
      <c r="Z67" s="155">
        <f t="shared" si="17"/>
        <v>0</v>
      </c>
      <c r="AA67" s="155">
        <f>VLOOKUP($B67,$AH:$CI,52,FALSE)</f>
        <v>0</v>
      </c>
      <c r="AB67" s="155"/>
      <c r="AC67" s="155">
        <f>VLOOKUP($B67,$AH:$CI,54,FALSE)</f>
        <v>81593</v>
      </c>
      <c r="AD67" s="121">
        <v>1085</v>
      </c>
      <c r="AE67" s="124">
        <f>AC67-CI88</f>
        <v>0</v>
      </c>
      <c r="AG67" s="39" t="s">
        <v>304</v>
      </c>
      <c r="AH67" s="256">
        <v>1064</v>
      </c>
      <c r="AI67" s="220">
        <f>'1. OŽ'!G86</f>
        <v>42152</v>
      </c>
      <c r="AK67" s="220">
        <f>'2. ŽO osim OŽ'!G86</f>
        <v>3202</v>
      </c>
      <c r="AM67" s="220">
        <f>'3. ŽO zbirno'!G86</f>
        <v>45354</v>
      </c>
      <c r="AO67" s="220">
        <f>'4. N i DZ'!G86</f>
        <v>17721</v>
      </c>
      <c r="AQ67" s="220">
        <f>'5. MV'!G86</f>
        <v>20280</v>
      </c>
      <c r="AS67" s="220">
        <f>'6. PO i TR'!G86</f>
        <v>4938</v>
      </c>
      <c r="AU67" s="220">
        <f>'7. VAZ'!G86</f>
        <v>1008</v>
      </c>
      <c r="AW67" s="220">
        <f>'8. IMOV'!G86</f>
        <v>82895</v>
      </c>
      <c r="AY67" s="220">
        <f>'9. ODG.'!G86</f>
        <v>143730</v>
      </c>
      <c r="BA67" s="220">
        <f>'10.KJ'!G86</f>
        <v>340</v>
      </c>
      <c r="BC67" s="220">
        <f>'11. OST.'!G86</f>
        <v>3614</v>
      </c>
      <c r="BE67" s="220">
        <f>'12. NZZ'!G86</f>
        <v>274526</v>
      </c>
      <c r="BG67" s="220">
        <f>'13. ukupno'!G86</f>
        <v>319880</v>
      </c>
      <c r="BH67" s="124">
        <f t="shared" si="0"/>
        <v>0</v>
      </c>
      <c r="BI67" s="124">
        <f t="shared" si="1"/>
        <v>0</v>
      </c>
      <c r="BJ67" s="124">
        <f t="shared" si="2"/>
        <v>0</v>
      </c>
      <c r="BK67" s="120">
        <f>'1. OŽ'!H86</f>
        <v>0</v>
      </c>
      <c r="BM67" s="120">
        <f>'2. ŽO osim OŽ'!H86</f>
        <v>0</v>
      </c>
      <c r="BO67" s="120">
        <f>'3. ŽO zbirno'!H86</f>
        <v>0</v>
      </c>
      <c r="BQ67" s="120">
        <f>'4. N i DZ'!H86</f>
        <v>0</v>
      </c>
      <c r="BS67" s="120">
        <f>'5. MV'!H86</f>
        <v>0</v>
      </c>
      <c r="BU67" s="120">
        <f>'6. PO i TR'!H86</f>
        <v>0</v>
      </c>
      <c r="BW67" s="120">
        <f>'7. VAZ'!H86</f>
        <v>0</v>
      </c>
      <c r="BY67" s="120">
        <f>'8. IMOV'!H86</f>
        <v>0</v>
      </c>
      <c r="CA67" s="120">
        <f>'9. ODG.'!H86</f>
        <v>0</v>
      </c>
      <c r="CC67" s="120">
        <f>'10.KJ'!H86</f>
        <v>0</v>
      </c>
      <c r="CE67" s="120">
        <f>'11. OST.'!H86</f>
        <v>0</v>
      </c>
      <c r="CG67" s="120">
        <f>'12. NZZ'!H86</f>
        <v>0</v>
      </c>
      <c r="CI67" s="120">
        <f>'13. ukupno'!H86</f>
        <v>2851</v>
      </c>
      <c r="CJ67" s="124">
        <f t="shared" si="3"/>
        <v>2851</v>
      </c>
      <c r="CK67" s="124">
        <f t="shared" si="4"/>
        <v>2851</v>
      </c>
    </row>
    <row r="68" spans="1:89" ht="25.5">
      <c r="B68" s="121">
        <v>1073</v>
      </c>
      <c r="C68" s="139"/>
      <c r="D68" s="153"/>
      <c r="E68" s="153">
        <f>SUM(E64:E67)</f>
        <v>0</v>
      </c>
      <c r="F68" s="153"/>
      <c r="G68" s="153">
        <f>SUM(G64:G67)</f>
        <v>0</v>
      </c>
      <c r="H68" s="153"/>
      <c r="I68" s="153">
        <f>SUM(I64:I67)</f>
        <v>0</v>
      </c>
      <c r="J68" s="153"/>
      <c r="K68" s="153">
        <f>SUM(K64:K67)</f>
        <v>-652571</v>
      </c>
      <c r="L68" s="153"/>
      <c r="M68" s="153">
        <f>SUM(M64:M67)</f>
        <v>0</v>
      </c>
      <c r="N68" s="153"/>
      <c r="O68" s="153">
        <f>SUM(O64:O67)</f>
        <v>0</v>
      </c>
      <c r="P68" s="153"/>
      <c r="Q68" s="153">
        <f>SUM(Q64:Q67)</f>
        <v>-25159</v>
      </c>
      <c r="R68" s="153"/>
      <c r="S68" s="153">
        <f>SUM(S64:S67)</f>
        <v>-2138387</v>
      </c>
      <c r="T68" s="153"/>
      <c r="U68" s="153">
        <f>SUM(U64:U67)</f>
        <v>-3208717</v>
      </c>
      <c r="V68" s="155"/>
      <c r="W68" s="153">
        <f>SUM(W64:W67)</f>
        <v>0</v>
      </c>
      <c r="X68" s="155"/>
      <c r="Y68" s="153">
        <f>SUM(Y64:Y67)</f>
        <v>-225318</v>
      </c>
      <c r="Z68" s="155"/>
      <c r="AA68" s="153">
        <f>SUM(AA64:AA67)</f>
        <v>0</v>
      </c>
      <c r="AB68" s="155"/>
      <c r="AC68" s="153">
        <f>SUM(AC64:AC67)</f>
        <v>-7532901</v>
      </c>
      <c r="AD68" s="121">
        <v>1073</v>
      </c>
      <c r="AE68" s="124">
        <f>AC68+CI76</f>
        <v>0</v>
      </c>
      <c r="AG68" s="39" t="s">
        <v>219</v>
      </c>
      <c r="AH68" s="256">
        <v>1065</v>
      </c>
      <c r="AI68" s="220">
        <f>'1. OŽ'!G87</f>
        <v>42152</v>
      </c>
      <c r="AK68" s="220">
        <f>'2. ŽO osim OŽ'!G87</f>
        <v>3202</v>
      </c>
      <c r="AM68" s="220">
        <f>'3. ŽO zbirno'!G87</f>
        <v>45354</v>
      </c>
      <c r="AO68" s="220">
        <f>'4. N i DZ'!G87</f>
        <v>17721</v>
      </c>
      <c r="AQ68" s="220">
        <f>'5. MV'!G87</f>
        <v>20280</v>
      </c>
      <c r="AS68" s="220">
        <f>'6. PO i TR'!G87</f>
        <v>4938</v>
      </c>
      <c r="AU68" s="220">
        <f>'7. VAZ'!G87</f>
        <v>1008</v>
      </c>
      <c r="AW68" s="220">
        <f>'8. IMOV'!G87</f>
        <v>82895</v>
      </c>
      <c r="AY68" s="220">
        <f>'9. ODG.'!G87</f>
        <v>143730</v>
      </c>
      <c r="BA68" s="220">
        <f>'10.KJ'!G87</f>
        <v>340</v>
      </c>
      <c r="BC68" s="220">
        <f>'11. OST.'!G87</f>
        <v>3614</v>
      </c>
      <c r="BE68" s="220">
        <f>'12. NZZ'!G87</f>
        <v>274526</v>
      </c>
      <c r="BG68" s="220">
        <f>'13. ukupno'!G87</f>
        <v>319880</v>
      </c>
      <c r="BH68" s="124">
        <f t="shared" ref="BH68:BH115" si="18">AM68-AK68-AI68</f>
        <v>0</v>
      </c>
      <c r="BI68" s="124">
        <f t="shared" ref="BI68:BI115" si="19">BE68-BC68-BA68-AY68-AW68-AU68-AS68-AQ68-AO68</f>
        <v>0</v>
      </c>
      <c r="BJ68" s="124">
        <f t="shared" ref="BJ68:BJ115" si="20">BG68-BE68-AM68</f>
        <v>0</v>
      </c>
      <c r="BK68" s="120">
        <f>'1. OŽ'!H87</f>
        <v>0</v>
      </c>
      <c r="BM68" s="120">
        <f>'2. ŽO osim OŽ'!H87</f>
        <v>0</v>
      </c>
      <c r="BO68" s="120">
        <f>'3. ŽO zbirno'!H87</f>
        <v>0</v>
      </c>
      <c r="BQ68" s="120">
        <f>'4. N i DZ'!H87</f>
        <v>0</v>
      </c>
      <c r="BS68" s="120">
        <f>'5. MV'!H87</f>
        <v>0</v>
      </c>
      <c r="BU68" s="120">
        <f>'6. PO i TR'!H87</f>
        <v>0</v>
      </c>
      <c r="BW68" s="120">
        <f>'7. VAZ'!H87</f>
        <v>0</v>
      </c>
      <c r="BY68" s="120">
        <f>'8. IMOV'!H87</f>
        <v>0</v>
      </c>
      <c r="CA68" s="120">
        <f>'9. ODG.'!H87</f>
        <v>0</v>
      </c>
      <c r="CC68" s="120">
        <f>'10.KJ'!H87</f>
        <v>0</v>
      </c>
      <c r="CE68" s="120">
        <f>'11. OST.'!H87</f>
        <v>0</v>
      </c>
      <c r="CG68" s="120">
        <f>'12. NZZ'!H87</f>
        <v>0</v>
      </c>
      <c r="CI68" s="120">
        <f>'13. ukupno'!H87</f>
        <v>0</v>
      </c>
      <c r="CJ68" s="124">
        <f t="shared" ref="CJ68:CJ113" si="21">CI68-CE68-CC68-CA68-BY68-BW68-BU68-BS68-BQ68-BM68-BK68</f>
        <v>0</v>
      </c>
      <c r="CK68" s="124">
        <f t="shared" ref="CK68:CK113" si="22">CI68-CG68-BO68</f>
        <v>0</v>
      </c>
    </row>
    <row r="69" spans="1:89" ht="25.5">
      <c r="B69" s="121" t="s">
        <v>411</v>
      </c>
      <c r="C69" s="139" t="s">
        <v>395</v>
      </c>
      <c r="D69" s="153"/>
      <c r="E69" s="167">
        <f>E58+E62+E68</f>
        <v>0</v>
      </c>
      <c r="F69" s="168">
        <f t="shared" ref="F69:AC69" si="23">F58+F62+F68</f>
        <v>0</v>
      </c>
      <c r="G69" s="169">
        <f t="shared" si="23"/>
        <v>0</v>
      </c>
      <c r="H69" s="168">
        <f t="shared" si="23"/>
        <v>0</v>
      </c>
      <c r="I69" s="169">
        <f t="shared" si="23"/>
        <v>0</v>
      </c>
      <c r="J69" s="168">
        <f t="shared" si="23"/>
        <v>0</v>
      </c>
      <c r="K69" s="167">
        <f t="shared" si="23"/>
        <v>-235178</v>
      </c>
      <c r="L69" s="168">
        <f t="shared" si="23"/>
        <v>0</v>
      </c>
      <c r="M69" s="167">
        <f t="shared" si="23"/>
        <v>0</v>
      </c>
      <c r="N69" s="168">
        <f t="shared" si="23"/>
        <v>0</v>
      </c>
      <c r="O69" s="169">
        <f t="shared" si="23"/>
        <v>0</v>
      </c>
      <c r="P69" s="168">
        <f t="shared" si="23"/>
        <v>0</v>
      </c>
      <c r="Q69" s="169">
        <f t="shared" si="23"/>
        <v>-16988</v>
      </c>
      <c r="R69" s="168">
        <f t="shared" si="23"/>
        <v>0</v>
      </c>
      <c r="S69" s="169">
        <f t="shared" si="23"/>
        <v>-478468</v>
      </c>
      <c r="T69" s="168">
        <f t="shared" si="23"/>
        <v>0</v>
      </c>
      <c r="U69" s="169">
        <f t="shared" si="23"/>
        <v>-210747</v>
      </c>
      <c r="V69" s="168">
        <f t="shared" si="23"/>
        <v>0</v>
      </c>
      <c r="W69" s="169">
        <f t="shared" si="23"/>
        <v>0</v>
      </c>
      <c r="X69" s="168">
        <f t="shared" si="23"/>
        <v>0</v>
      </c>
      <c r="Y69" s="169">
        <f t="shared" si="23"/>
        <v>-8865</v>
      </c>
      <c r="Z69" s="168">
        <f t="shared" si="23"/>
        <v>0</v>
      </c>
      <c r="AA69" s="167">
        <f t="shared" si="23"/>
        <v>0</v>
      </c>
      <c r="AB69" s="155">
        <f t="shared" si="23"/>
        <v>0</v>
      </c>
      <c r="AC69" s="169">
        <f t="shared" si="23"/>
        <v>-1278862</v>
      </c>
      <c r="AD69" s="121" t="s">
        <v>411</v>
      </c>
      <c r="AE69" s="124">
        <f>AC69+CI90-CI89</f>
        <v>0</v>
      </c>
      <c r="AG69" s="39" t="s">
        <v>222</v>
      </c>
      <c r="AH69" s="256">
        <v>1066</v>
      </c>
      <c r="AI69" s="220">
        <f>'1. OŽ'!G88</f>
        <v>0</v>
      </c>
      <c r="AK69" s="220">
        <f>'2. ŽO osim OŽ'!G88</f>
        <v>0</v>
      </c>
      <c r="AM69" s="220">
        <f>'3. ŽO zbirno'!G88</f>
        <v>0</v>
      </c>
      <c r="AO69" s="220">
        <f>'4. N i DZ'!G88</f>
        <v>0</v>
      </c>
      <c r="AQ69" s="220">
        <f>'5. MV'!G88</f>
        <v>0</v>
      </c>
      <c r="AS69" s="220">
        <f>'6. PO i TR'!G88</f>
        <v>0</v>
      </c>
      <c r="AU69" s="220">
        <f>'7. VAZ'!G88</f>
        <v>0</v>
      </c>
      <c r="AW69" s="220">
        <f>'8. IMOV'!G88</f>
        <v>0</v>
      </c>
      <c r="AY69" s="220">
        <f>'9. ODG.'!G88</f>
        <v>0</v>
      </c>
      <c r="BA69" s="220">
        <f>'10.KJ'!G88</f>
        <v>0</v>
      </c>
      <c r="BC69" s="220">
        <f>'11. OST.'!G88</f>
        <v>0</v>
      </c>
      <c r="BE69" s="220">
        <f>'12. NZZ'!G88</f>
        <v>0</v>
      </c>
      <c r="BG69" s="220">
        <f>'13. ukupno'!G88</f>
        <v>0</v>
      </c>
      <c r="BH69" s="124">
        <f t="shared" si="18"/>
        <v>0</v>
      </c>
      <c r="BI69" s="124">
        <f t="shared" si="19"/>
        <v>0</v>
      </c>
      <c r="BJ69" s="124">
        <f t="shared" si="20"/>
        <v>0</v>
      </c>
      <c r="BK69" s="120">
        <f>'1. OŽ'!H88</f>
        <v>0</v>
      </c>
      <c r="BM69" s="120">
        <f>'2. ŽO osim OŽ'!H88</f>
        <v>0</v>
      </c>
      <c r="BO69" s="120">
        <f>'3. ŽO zbirno'!H88</f>
        <v>0</v>
      </c>
      <c r="BQ69" s="120">
        <f>'4. N i DZ'!H88</f>
        <v>0</v>
      </c>
      <c r="BS69" s="120">
        <f>'5. MV'!H88</f>
        <v>0</v>
      </c>
      <c r="BU69" s="120">
        <f>'6. PO i TR'!H88</f>
        <v>0</v>
      </c>
      <c r="BW69" s="120">
        <f>'7. VAZ'!H88</f>
        <v>0</v>
      </c>
      <c r="BY69" s="120">
        <f>'8. IMOV'!H88</f>
        <v>0</v>
      </c>
      <c r="CA69" s="120">
        <f>'9. ODG.'!H88</f>
        <v>0</v>
      </c>
      <c r="CC69" s="120">
        <f>'10.KJ'!H88</f>
        <v>0</v>
      </c>
      <c r="CE69" s="120">
        <f>'11. OST.'!H88</f>
        <v>0</v>
      </c>
      <c r="CG69" s="120">
        <f>'12. NZZ'!H88</f>
        <v>0</v>
      </c>
      <c r="CI69" s="120">
        <f>'13. ukupno'!H88</f>
        <v>2851</v>
      </c>
      <c r="CJ69" s="124">
        <f t="shared" si="21"/>
        <v>2851</v>
      </c>
      <c r="CK69" s="124">
        <f t="shared" si="22"/>
        <v>2851</v>
      </c>
    </row>
    <row r="70" spans="1:89" ht="38.25">
      <c r="C70" s="139" t="s">
        <v>350</v>
      </c>
      <c r="D70" s="153"/>
      <c r="E70" s="154"/>
      <c r="F70" s="155"/>
      <c r="G70" s="155"/>
      <c r="H70" s="155"/>
      <c r="I70" s="155"/>
      <c r="J70" s="155"/>
      <c r="K70" s="154"/>
      <c r="L70" s="155"/>
      <c r="M70" s="154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4"/>
      <c r="AB70" s="155"/>
      <c r="AC70" s="155"/>
      <c r="AD70" s="121"/>
      <c r="AE70" s="124"/>
      <c r="AG70" s="39" t="s">
        <v>326</v>
      </c>
      <c r="AH70" s="256">
        <v>1067</v>
      </c>
      <c r="AI70" s="220">
        <f>'1. OŽ'!G89</f>
        <v>4775</v>
      </c>
      <c r="AK70" s="220">
        <f>'2. ŽO osim OŽ'!G89</f>
        <v>373</v>
      </c>
      <c r="AM70" s="220">
        <f>'3. ŽO zbirno'!G89</f>
        <v>5148</v>
      </c>
      <c r="AO70" s="220">
        <f>'4. N i DZ'!G89</f>
        <v>1854</v>
      </c>
      <c r="AQ70" s="220">
        <f>'5. MV'!G89</f>
        <v>2006</v>
      </c>
      <c r="AS70" s="220">
        <f>'6. PO i TR'!G89</f>
        <v>691</v>
      </c>
      <c r="AU70" s="220">
        <f>'7. VAZ'!G89</f>
        <v>115</v>
      </c>
      <c r="AW70" s="220">
        <f>'8. IMOV'!G89</f>
        <v>15539</v>
      </c>
      <c r="AY70" s="220">
        <f>'9. ODG.'!G89</f>
        <v>11121</v>
      </c>
      <c r="BA70" s="220">
        <f>'10.KJ'!G89</f>
        <v>97</v>
      </c>
      <c r="BC70" s="220">
        <f>'11. OST.'!G89</f>
        <v>0</v>
      </c>
      <c r="BE70" s="220">
        <f>'12. NZZ'!G89</f>
        <v>31423</v>
      </c>
      <c r="BG70" s="220">
        <f>'13. ukupno'!G89</f>
        <v>36571</v>
      </c>
      <c r="BH70" s="124">
        <f t="shared" si="18"/>
        <v>0</v>
      </c>
      <c r="BI70" s="124">
        <f t="shared" si="19"/>
        <v>0</v>
      </c>
      <c r="BJ70" s="124">
        <f t="shared" si="20"/>
        <v>0</v>
      </c>
      <c r="BK70" s="120">
        <f>'1. OŽ'!H89</f>
        <v>0</v>
      </c>
      <c r="BM70" s="120">
        <f>'2. ŽO osim OŽ'!H89</f>
        <v>0</v>
      </c>
      <c r="BO70" s="120">
        <f>'3. ŽO zbirno'!H89</f>
        <v>0</v>
      </c>
      <c r="BQ70" s="120">
        <f>'4. N i DZ'!H89</f>
        <v>263</v>
      </c>
      <c r="BS70" s="120">
        <f>'5. MV'!H89</f>
        <v>0</v>
      </c>
      <c r="BU70" s="120">
        <f>'6. PO i TR'!H89</f>
        <v>0</v>
      </c>
      <c r="BW70" s="120">
        <f>'7. VAZ'!H89</f>
        <v>8</v>
      </c>
      <c r="BY70" s="120">
        <f>'8. IMOV'!H89</f>
        <v>1446</v>
      </c>
      <c r="CA70" s="120">
        <f>'9. ODG.'!H89</f>
        <v>1599</v>
      </c>
      <c r="CC70" s="120">
        <f>'10.KJ'!H89</f>
        <v>0</v>
      </c>
      <c r="CE70" s="120">
        <f>'11. OST.'!H89</f>
        <v>0</v>
      </c>
      <c r="CG70" s="120">
        <f>'12. NZZ'!H89</f>
        <v>0</v>
      </c>
      <c r="CI70" s="120">
        <f>'13. ukupno'!H89</f>
        <v>3938</v>
      </c>
      <c r="CJ70" s="124">
        <f t="shared" si="21"/>
        <v>622</v>
      </c>
      <c r="CK70" s="124">
        <f t="shared" si="22"/>
        <v>3938</v>
      </c>
    </row>
    <row r="71" spans="1:89" ht="12.75">
      <c r="B71" s="121">
        <v>1088</v>
      </c>
      <c r="C71" s="156" t="s">
        <v>414</v>
      </c>
      <c r="D71" s="153"/>
      <c r="E71" s="155">
        <f>VLOOKUP($B71,$AH:$CI,30,FALSE)</f>
        <v>0</v>
      </c>
      <c r="F71" s="155">
        <f t="shared" ref="F71:Z71" si="24">VLOOKUP($B71,$AH:$CI,30,FALSE)</f>
        <v>0</v>
      </c>
      <c r="G71" s="155">
        <f>VLOOKUP($B71,$AH:$CI,32,FALSE)</f>
        <v>0</v>
      </c>
      <c r="H71" s="155">
        <f t="shared" si="24"/>
        <v>0</v>
      </c>
      <c r="I71" s="155">
        <f>VLOOKUP($B71,$AH:$CI,34,FALSE)</f>
        <v>0</v>
      </c>
      <c r="J71" s="155">
        <f t="shared" si="24"/>
        <v>0</v>
      </c>
      <c r="K71" s="155">
        <f>VLOOKUP($B71,$AH:$CI,36,FALSE)</f>
        <v>26976</v>
      </c>
      <c r="L71" s="155">
        <f t="shared" si="24"/>
        <v>0</v>
      </c>
      <c r="M71" s="155">
        <f>VLOOKUP($B71,$AH:$CI,38,FALSE)</f>
        <v>0</v>
      </c>
      <c r="N71" s="155">
        <f t="shared" si="24"/>
        <v>0</v>
      </c>
      <c r="O71" s="155">
        <f>VLOOKUP($B71,$AH:$CI,40,FALSE)</f>
        <v>0</v>
      </c>
      <c r="P71" s="155">
        <f t="shared" si="24"/>
        <v>0</v>
      </c>
      <c r="Q71" s="155">
        <f>VLOOKUP($B71,$AH:$CI,42,FALSE)</f>
        <v>2590</v>
      </c>
      <c r="R71" s="155">
        <f t="shared" si="24"/>
        <v>0</v>
      </c>
      <c r="S71" s="155">
        <f>VLOOKUP($B71,$AH:$CI,44,FALSE)</f>
        <v>141748</v>
      </c>
      <c r="T71" s="155">
        <f t="shared" si="24"/>
        <v>0</v>
      </c>
      <c r="U71" s="155">
        <f>VLOOKUP($B71,$AH:$CI,46,FALSE)</f>
        <v>150008</v>
      </c>
      <c r="V71" s="155">
        <f t="shared" si="24"/>
        <v>0</v>
      </c>
      <c r="W71" s="155">
        <f>VLOOKUP($B71,$AH:$CI,48,FALSE)</f>
        <v>0</v>
      </c>
      <c r="X71" s="155">
        <f t="shared" si="24"/>
        <v>0</v>
      </c>
      <c r="Y71" s="155">
        <f>VLOOKUP($B71,$AH:$CI,50,FALSE)</f>
        <v>6901</v>
      </c>
      <c r="Z71" s="155">
        <f t="shared" si="24"/>
        <v>0</v>
      </c>
      <c r="AA71" s="155">
        <f>VLOOKUP($B71,$AH:$CI,52,FALSE)</f>
        <v>0</v>
      </c>
      <c r="AB71" s="155"/>
      <c r="AC71" s="155">
        <f>VLOOKUP($B71,$AH:$CI,54,FALSE)</f>
        <v>335541</v>
      </c>
      <c r="AD71" s="121">
        <v>1088</v>
      </c>
      <c r="AE71" s="124">
        <f>AC71-CI91</f>
        <v>0</v>
      </c>
      <c r="AG71" s="39" t="s">
        <v>327</v>
      </c>
      <c r="AH71" s="256">
        <v>1068</v>
      </c>
      <c r="AI71" s="220">
        <f>'1. OŽ'!G90</f>
        <v>0</v>
      </c>
      <c r="AK71" s="220">
        <f>'2. ŽO osim OŽ'!G90</f>
        <v>0</v>
      </c>
      <c r="AM71" s="220">
        <f>'3. ŽO zbirno'!G90</f>
        <v>0</v>
      </c>
      <c r="AO71" s="220">
        <f>'4. N i DZ'!G90</f>
        <v>8121</v>
      </c>
      <c r="AQ71" s="220">
        <f>'5. MV'!G90</f>
        <v>9131</v>
      </c>
      <c r="AS71" s="220">
        <f>'6. PO i TR'!G90</f>
        <v>2183</v>
      </c>
      <c r="AU71" s="220">
        <f>'7. VAZ'!G90</f>
        <v>497</v>
      </c>
      <c r="AW71" s="220">
        <f>'8. IMOV'!G90</f>
        <v>39269</v>
      </c>
      <c r="AY71" s="220">
        <f>'9. ODG.'!G90</f>
        <v>66333</v>
      </c>
      <c r="BA71" s="220">
        <f>'10.KJ'!G90</f>
        <v>0</v>
      </c>
      <c r="BC71" s="220">
        <f>'11. OST.'!G90</f>
        <v>2490</v>
      </c>
      <c r="BE71" s="220">
        <f>'12. NZZ'!G90</f>
        <v>128024</v>
      </c>
      <c r="BG71" s="220">
        <f>'13. ukupno'!G90</f>
        <v>128024</v>
      </c>
      <c r="BH71" s="124">
        <f t="shared" si="18"/>
        <v>0</v>
      </c>
      <c r="BI71" s="124">
        <f t="shared" si="19"/>
        <v>0</v>
      </c>
      <c r="BJ71" s="124">
        <f t="shared" si="20"/>
        <v>0</v>
      </c>
      <c r="BK71" s="120">
        <f>'1. OŽ'!H90</f>
        <v>0</v>
      </c>
      <c r="BM71" s="120">
        <f>'2. ŽO osim OŽ'!H90</f>
        <v>0</v>
      </c>
      <c r="BO71" s="120">
        <f>'3. ŽO zbirno'!H90</f>
        <v>0</v>
      </c>
      <c r="BQ71" s="120">
        <f>'4. N i DZ'!H90</f>
        <v>0</v>
      </c>
      <c r="BS71" s="120">
        <f>'5. MV'!H90</f>
        <v>0</v>
      </c>
      <c r="BU71" s="120">
        <f>'6. PO i TR'!H90</f>
        <v>0</v>
      </c>
      <c r="BW71" s="120">
        <f>'7. VAZ'!H90</f>
        <v>0</v>
      </c>
      <c r="BY71" s="120">
        <f>'8. IMOV'!H90</f>
        <v>0</v>
      </c>
      <c r="CA71" s="120">
        <f>'9. ODG.'!H90</f>
        <v>0</v>
      </c>
      <c r="CC71" s="120">
        <f>'10.KJ'!H90</f>
        <v>0</v>
      </c>
      <c r="CE71" s="120">
        <f>'11. OST.'!H90</f>
        <v>0</v>
      </c>
      <c r="CG71" s="120">
        <f>'12. NZZ'!H90</f>
        <v>0</v>
      </c>
      <c r="CI71" s="120">
        <f>'13. ukupno'!H90</f>
        <v>0</v>
      </c>
      <c r="CJ71" s="124">
        <f t="shared" si="21"/>
        <v>0</v>
      </c>
      <c r="CK71" s="124">
        <f t="shared" si="22"/>
        <v>0</v>
      </c>
    </row>
    <row r="72" spans="1:89" ht="12.75">
      <c r="B72" s="121">
        <v>1089</v>
      </c>
      <c r="C72" s="156" t="s">
        <v>415</v>
      </c>
      <c r="D72" s="153"/>
      <c r="E72" s="155">
        <f>-VLOOKUP($B72,$AH:$CI,30,FALSE)</f>
        <v>0</v>
      </c>
      <c r="F72" s="155">
        <f t="shared" ref="F72:Z73" si="25">VLOOKUP($B72,$AH:$CI,30,FALSE)</f>
        <v>0</v>
      </c>
      <c r="G72" s="155">
        <f>-VLOOKUP($B72,$AH:$CI,32,FALSE)</f>
        <v>0</v>
      </c>
      <c r="H72" s="155">
        <f t="shared" si="25"/>
        <v>0</v>
      </c>
      <c r="I72" s="155">
        <f>-VLOOKUP($B72,$AH:$CI,34,FALSE)</f>
        <v>0</v>
      </c>
      <c r="J72" s="155">
        <f t="shared" si="25"/>
        <v>0</v>
      </c>
      <c r="K72" s="155">
        <f>-VLOOKUP($B72,$AH:$CI,36,FALSE)</f>
        <v>-4176</v>
      </c>
      <c r="L72" s="155">
        <f t="shared" si="25"/>
        <v>0</v>
      </c>
      <c r="M72" s="155">
        <f>-VLOOKUP($B72,$AH:$CI,38,FALSE)</f>
        <v>0</v>
      </c>
      <c r="N72" s="155">
        <f t="shared" si="25"/>
        <v>0</v>
      </c>
      <c r="O72" s="155">
        <f>-VLOOKUP($B72,$AH:$CI,40,FALSE)</f>
        <v>0</v>
      </c>
      <c r="P72" s="155">
        <f t="shared" si="25"/>
        <v>0</v>
      </c>
      <c r="Q72" s="155">
        <f>-VLOOKUP($B72,$AH:$CI,42,FALSE)</f>
        <v>-3228</v>
      </c>
      <c r="R72" s="155">
        <f t="shared" si="25"/>
        <v>0</v>
      </c>
      <c r="S72" s="155">
        <f>-VLOOKUP($B72,$AH:$CI,44,FALSE)</f>
        <v>-25334</v>
      </c>
      <c r="T72" s="155">
        <f t="shared" si="25"/>
        <v>0</v>
      </c>
      <c r="U72" s="155">
        <f>-VLOOKUP($B72,$AH:$CI,46,FALSE)</f>
        <v>-26857</v>
      </c>
      <c r="V72" s="155">
        <f t="shared" si="25"/>
        <v>0</v>
      </c>
      <c r="W72" s="155">
        <f>-VLOOKUP($B72,$AH:$CI,48,FALSE)</f>
        <v>0</v>
      </c>
      <c r="X72" s="155">
        <f t="shared" si="25"/>
        <v>0</v>
      </c>
      <c r="Y72" s="155">
        <f>-VLOOKUP($B72,$AH:$CI,50,FALSE)</f>
        <v>-848</v>
      </c>
      <c r="Z72" s="155">
        <f t="shared" si="25"/>
        <v>0</v>
      </c>
      <c r="AA72" s="155">
        <f>-VLOOKUP($B72,$AH:$CI,52,FALSE)</f>
        <v>0</v>
      </c>
      <c r="AB72" s="155"/>
      <c r="AC72" s="155">
        <f>-VLOOKUP($B72,$AH:$CI,54,FALSE)</f>
        <v>-54918</v>
      </c>
      <c r="AD72" s="121">
        <v>1089</v>
      </c>
      <c r="AE72" s="124">
        <f>AC72+CI92</f>
        <v>0</v>
      </c>
      <c r="AG72" s="39" t="s">
        <v>328</v>
      </c>
      <c r="AH72" s="256">
        <v>1069</v>
      </c>
      <c r="AI72" s="220">
        <f>'1. OŽ'!G91</f>
        <v>100746</v>
      </c>
      <c r="AK72" s="220">
        <f>'2. ŽO osim OŽ'!G91</f>
        <v>8050</v>
      </c>
      <c r="AM72" s="220">
        <f>'3. ŽO zbirno'!G91</f>
        <v>108796</v>
      </c>
      <c r="AO72" s="220">
        <f>'4. N i DZ'!G91</f>
        <v>2407</v>
      </c>
      <c r="AQ72" s="220">
        <f>'5. MV'!G91</f>
        <v>2500</v>
      </c>
      <c r="AS72" s="220">
        <f>'6. PO i TR'!G91</f>
        <v>571</v>
      </c>
      <c r="AU72" s="220">
        <f>'7. VAZ'!G91</f>
        <v>136</v>
      </c>
      <c r="AW72" s="220">
        <f>'8. IMOV'!G91</f>
        <v>11048</v>
      </c>
      <c r="AY72" s="220">
        <f>'9. ODG.'!G91</f>
        <v>16771</v>
      </c>
      <c r="BA72" s="220">
        <f>'10.KJ'!G91</f>
        <v>101</v>
      </c>
      <c r="BC72" s="220">
        <f>'11. OST.'!G91</f>
        <v>747</v>
      </c>
      <c r="BE72" s="220">
        <f>'12. NZZ'!G91</f>
        <v>34281</v>
      </c>
      <c r="BG72" s="220">
        <f>'13. ukupno'!G91</f>
        <v>143077</v>
      </c>
      <c r="BH72" s="124">
        <f t="shared" si="18"/>
        <v>0</v>
      </c>
      <c r="BI72" s="124">
        <f t="shared" si="19"/>
        <v>0</v>
      </c>
      <c r="BJ72" s="124">
        <f t="shared" si="20"/>
        <v>0</v>
      </c>
      <c r="BK72" s="120">
        <f>'1. OŽ'!H91</f>
        <v>0</v>
      </c>
      <c r="BM72" s="120">
        <f>'2. ŽO osim OŽ'!H91</f>
        <v>0</v>
      </c>
      <c r="BO72" s="120">
        <f>'3. ŽO zbirno'!H91</f>
        <v>0</v>
      </c>
      <c r="BQ72" s="120">
        <f>'4. N i DZ'!H91</f>
        <v>8411</v>
      </c>
      <c r="BS72" s="120">
        <f>'5. MV'!H91</f>
        <v>0</v>
      </c>
      <c r="BU72" s="120">
        <f>'6. PO i TR'!H91</f>
        <v>0</v>
      </c>
      <c r="BW72" s="120">
        <f>'7. VAZ'!H91</f>
        <v>516</v>
      </c>
      <c r="BY72" s="120">
        <f>'8. IMOV'!H91</f>
        <v>33714</v>
      </c>
      <c r="CA72" s="120">
        <f>'9. ODG.'!H91</f>
        <v>35557</v>
      </c>
      <c r="CC72" s="120">
        <f>'10.KJ'!H91</f>
        <v>0</v>
      </c>
      <c r="CE72" s="120">
        <f>'11. OST.'!H91</f>
        <v>1173</v>
      </c>
      <c r="CG72" s="120">
        <f>'12. NZZ'!H91</f>
        <v>0</v>
      </c>
      <c r="CI72" s="120">
        <f>'13. ukupno'!H91</f>
        <v>16387</v>
      </c>
      <c r="CJ72" s="124">
        <f t="shared" si="21"/>
        <v>-62984</v>
      </c>
      <c r="CK72" s="124">
        <f t="shared" si="22"/>
        <v>16387</v>
      </c>
    </row>
    <row r="73" spans="1:89" ht="45">
      <c r="B73" s="121">
        <v>1090</v>
      </c>
      <c r="C73" s="156" t="s">
        <v>347</v>
      </c>
      <c r="D73" s="153"/>
      <c r="E73" s="155">
        <f>VLOOKUP($B73,$AH:$CI,30,FALSE)</f>
        <v>0</v>
      </c>
      <c r="F73" s="155">
        <f t="shared" si="25"/>
        <v>0</v>
      </c>
      <c r="G73" s="155">
        <f>VLOOKUP($B73,$AH:$CI,32,FALSE)</f>
        <v>0</v>
      </c>
      <c r="H73" s="155">
        <f t="shared" si="25"/>
        <v>0</v>
      </c>
      <c r="I73" s="155">
        <f>VLOOKUP($B73,$AH:$CI,34,FALSE)</f>
        <v>0</v>
      </c>
      <c r="J73" s="155">
        <f t="shared" si="25"/>
        <v>0</v>
      </c>
      <c r="K73" s="155">
        <f>VLOOKUP($B73,$AH:$CI,36,FALSE)</f>
        <v>84991</v>
      </c>
      <c r="L73" s="155">
        <f t="shared" si="25"/>
        <v>0</v>
      </c>
      <c r="M73" s="155">
        <f>VLOOKUP($B73,$AH:$CI,38,FALSE)</f>
        <v>0</v>
      </c>
      <c r="N73" s="155">
        <f t="shared" si="25"/>
        <v>0</v>
      </c>
      <c r="O73" s="155">
        <f>VLOOKUP($B73,$AH:$CI,40,FALSE)</f>
        <v>0</v>
      </c>
      <c r="P73" s="155">
        <f t="shared" si="25"/>
        <v>0</v>
      </c>
      <c r="Q73" s="155">
        <f>VLOOKUP($B73,$AH:$CI,42,FALSE)</f>
        <v>1885</v>
      </c>
      <c r="R73" s="155">
        <f t="shared" si="25"/>
        <v>0</v>
      </c>
      <c r="S73" s="155">
        <f>VLOOKUP($B73,$AH:$CI,44,FALSE)</f>
        <v>553022</v>
      </c>
      <c r="T73" s="155">
        <f t="shared" si="25"/>
        <v>0</v>
      </c>
      <c r="U73" s="155">
        <f>VLOOKUP($B73,$AH:$CI,46,FALSE)</f>
        <v>178878</v>
      </c>
      <c r="V73" s="155">
        <f t="shared" si="25"/>
        <v>0</v>
      </c>
      <c r="W73" s="155">
        <f>VLOOKUP($B73,$AH:$CI,48,FALSE)</f>
        <v>0</v>
      </c>
      <c r="X73" s="155">
        <f t="shared" si="25"/>
        <v>0</v>
      </c>
      <c r="Y73" s="155">
        <f>VLOOKUP($B73,$AH:$CI,50,FALSE)</f>
        <v>7466</v>
      </c>
      <c r="Z73" s="155">
        <f t="shared" si="25"/>
        <v>0</v>
      </c>
      <c r="AA73" s="155">
        <f>VLOOKUP($B73,$AH:$CI,52,FALSE)</f>
        <v>0</v>
      </c>
      <c r="AB73" s="155"/>
      <c r="AC73" s="155">
        <f>VLOOKUP($B73,$AH:$CI,54,FALSE)</f>
        <v>1025194</v>
      </c>
      <c r="AD73" s="121">
        <v>1090</v>
      </c>
      <c r="AE73" s="124">
        <f>AC73-CI93</f>
        <v>0</v>
      </c>
      <c r="AG73" s="39" t="s">
        <v>329</v>
      </c>
      <c r="AH73" s="256">
        <v>1070</v>
      </c>
      <c r="AI73" s="220">
        <f>'1. OŽ'!G92</f>
        <v>0</v>
      </c>
      <c r="AK73" s="220">
        <f>'2. ŽO osim OŽ'!G92</f>
        <v>0</v>
      </c>
      <c r="AM73" s="220">
        <f>'3. ŽO zbirno'!G92</f>
        <v>0</v>
      </c>
      <c r="AO73" s="220">
        <f>'4. N i DZ'!G92</f>
        <v>0</v>
      </c>
      <c r="AQ73" s="220">
        <f>'5. MV'!G92</f>
        <v>0</v>
      </c>
      <c r="AS73" s="220">
        <f>'6. PO i TR'!G92</f>
        <v>0</v>
      </c>
      <c r="AU73" s="220">
        <f>'7. VAZ'!G92</f>
        <v>0</v>
      </c>
      <c r="AW73" s="220">
        <f>'8. IMOV'!G92</f>
        <v>0</v>
      </c>
      <c r="AY73" s="220">
        <f>'9. ODG.'!G92</f>
        <v>0</v>
      </c>
      <c r="BA73" s="220">
        <f>'10.KJ'!G92</f>
        <v>0</v>
      </c>
      <c r="BC73" s="220">
        <f>'11. OST.'!G92</f>
        <v>0</v>
      </c>
      <c r="BE73" s="220">
        <f>'12. NZZ'!G92</f>
        <v>0</v>
      </c>
      <c r="BG73" s="220">
        <f>'13. ukupno'!G92</f>
        <v>0</v>
      </c>
      <c r="BH73" s="124">
        <f t="shared" si="18"/>
        <v>0</v>
      </c>
      <c r="BI73" s="124">
        <f t="shared" si="19"/>
        <v>0</v>
      </c>
      <c r="BJ73" s="124">
        <f t="shared" si="20"/>
        <v>0</v>
      </c>
      <c r="BK73" s="120">
        <f>'1. OŽ'!H92</f>
        <v>0</v>
      </c>
      <c r="BM73" s="120">
        <f>'2. ŽO osim OŽ'!H92</f>
        <v>0</v>
      </c>
      <c r="BO73" s="120">
        <f>'3. ŽO zbirno'!H92</f>
        <v>0</v>
      </c>
      <c r="BQ73" s="120">
        <f>'4. N i DZ'!H92</f>
        <v>0</v>
      </c>
      <c r="BS73" s="120">
        <f>'5. MV'!H92</f>
        <v>0</v>
      </c>
      <c r="BU73" s="120">
        <f>'6. PO i TR'!H92</f>
        <v>0</v>
      </c>
      <c r="BW73" s="120">
        <f>'7. VAZ'!H92</f>
        <v>0</v>
      </c>
      <c r="BY73" s="120">
        <f>'8. IMOV'!H92</f>
        <v>0</v>
      </c>
      <c r="CA73" s="120">
        <f>'9. ODG.'!H92</f>
        <v>0</v>
      </c>
      <c r="CC73" s="120">
        <f>'10.KJ'!H92</f>
        <v>0</v>
      </c>
      <c r="CE73" s="120">
        <f>'11. OST.'!H92</f>
        <v>0</v>
      </c>
      <c r="CG73" s="120">
        <f>'12. NZZ'!H92</f>
        <v>0</v>
      </c>
      <c r="CI73" s="120">
        <f>'13. ukupno'!H92</f>
        <v>134442</v>
      </c>
      <c r="CJ73" s="124">
        <f t="shared" si="21"/>
        <v>134442</v>
      </c>
      <c r="CK73" s="124">
        <f t="shared" si="22"/>
        <v>134442</v>
      </c>
    </row>
    <row r="74" spans="1:89" ht="45">
      <c r="B74" s="121">
        <v>1091</v>
      </c>
      <c r="C74" s="156" t="s">
        <v>345</v>
      </c>
      <c r="D74" s="153"/>
      <c r="E74" s="155">
        <f>-VLOOKUP($B74,$AH:$CI,30,FALSE)</f>
        <v>0</v>
      </c>
      <c r="F74" s="155">
        <f t="shared" ref="F74:Z75" si="26">VLOOKUP($B74,$AH:$CI,30,FALSE)</f>
        <v>0</v>
      </c>
      <c r="G74" s="155">
        <f>-VLOOKUP($B74,$AH:$CI,32,FALSE)</f>
        <v>0</v>
      </c>
      <c r="H74" s="155">
        <f t="shared" si="26"/>
        <v>0</v>
      </c>
      <c r="I74" s="155">
        <f>-VLOOKUP($B74,$AH:$CI,34,FALSE)</f>
        <v>0</v>
      </c>
      <c r="J74" s="155">
        <f t="shared" si="26"/>
        <v>0</v>
      </c>
      <c r="K74" s="155">
        <f>-VLOOKUP($B74,$AH:$CI,36,FALSE)</f>
        <v>-96078</v>
      </c>
      <c r="L74" s="155">
        <f t="shared" si="26"/>
        <v>0</v>
      </c>
      <c r="M74" s="155">
        <f>-VLOOKUP($B74,$AH:$CI,38,FALSE)</f>
        <v>0</v>
      </c>
      <c r="N74" s="155">
        <f t="shared" si="26"/>
        <v>0</v>
      </c>
      <c r="O74" s="155">
        <f>-VLOOKUP($B74,$AH:$CI,40,FALSE)</f>
        <v>0</v>
      </c>
      <c r="P74" s="155">
        <f t="shared" si="26"/>
        <v>0</v>
      </c>
      <c r="Q74" s="155">
        <f>-VLOOKUP($B74,$AH:$CI,42,FALSE)</f>
        <v>-23805</v>
      </c>
      <c r="R74" s="155">
        <f t="shared" si="26"/>
        <v>0</v>
      </c>
      <c r="S74" s="155">
        <f>-VLOOKUP($B74,$AH:$CI,44,FALSE)</f>
        <v>-573344</v>
      </c>
      <c r="T74" s="155">
        <f t="shared" si="26"/>
        <v>0</v>
      </c>
      <c r="U74" s="155">
        <f>-VLOOKUP($B74,$AH:$CI,46,FALSE)</f>
        <v>-377080</v>
      </c>
      <c r="V74" s="155">
        <f t="shared" si="26"/>
        <v>0</v>
      </c>
      <c r="W74" s="155">
        <f>-VLOOKUP($B74,$AH:$CI,48,FALSE)</f>
        <v>0</v>
      </c>
      <c r="X74" s="155">
        <f t="shared" si="26"/>
        <v>0</v>
      </c>
      <c r="Y74" s="155">
        <f>-VLOOKUP($B74,$AH:$CI,50,FALSE)</f>
        <v>-20214</v>
      </c>
      <c r="Z74" s="155">
        <f t="shared" si="26"/>
        <v>0</v>
      </c>
      <c r="AA74" s="155">
        <f>-VLOOKUP($B74,$AH:$CI,52,FALSE)</f>
        <v>0</v>
      </c>
      <c r="AB74" s="155"/>
      <c r="AC74" s="155">
        <f>-VLOOKUP($B74,$AH:$CI,54,FALSE)</f>
        <v>-1475224</v>
      </c>
      <c r="AD74" s="121">
        <v>1091</v>
      </c>
      <c r="AE74" s="124">
        <f>AC74+CI94</f>
        <v>0</v>
      </c>
      <c r="AG74" s="85" t="s">
        <v>305</v>
      </c>
      <c r="AH74" s="254">
        <v>1071</v>
      </c>
      <c r="AI74" s="218">
        <f>'1. OŽ'!G93</f>
        <v>81036</v>
      </c>
      <c r="AK74" s="218">
        <f>'2. ŽO osim OŽ'!G93</f>
        <v>6690</v>
      </c>
      <c r="AM74" s="218">
        <f>'3. ŽO zbirno'!G93</f>
        <v>87726</v>
      </c>
      <c r="AO74" s="218">
        <f>'4. N i DZ'!G93</f>
        <v>41205</v>
      </c>
      <c r="AQ74" s="218">
        <f>'5. MV'!G93</f>
        <v>45078</v>
      </c>
      <c r="AS74" s="218">
        <f>'6. PO i TR'!G93</f>
        <v>9341</v>
      </c>
      <c r="AU74" s="218">
        <f>'7. VAZ'!G93</f>
        <v>2016</v>
      </c>
      <c r="AW74" s="218">
        <f>'8. IMOV'!G93</f>
        <v>218487</v>
      </c>
      <c r="AY74" s="218">
        <f>'9. ODG.'!G93</f>
        <v>294292</v>
      </c>
      <c r="BA74" s="218">
        <f>'10.KJ'!G93</f>
        <v>3391</v>
      </c>
      <c r="BC74" s="218">
        <f>'11. OST.'!G93</f>
        <v>16955</v>
      </c>
      <c r="BE74" s="218">
        <f>'12. NZZ'!G93</f>
        <v>630765</v>
      </c>
      <c r="BG74" s="218">
        <f>'13. ukupno'!G93</f>
        <v>718491</v>
      </c>
      <c r="BH74" s="124">
        <f t="shared" si="18"/>
        <v>0</v>
      </c>
      <c r="BI74" s="124">
        <f t="shared" si="19"/>
        <v>0</v>
      </c>
      <c r="BJ74" s="124">
        <f t="shared" si="20"/>
        <v>0</v>
      </c>
      <c r="BK74" s="120">
        <f>'1. OŽ'!H93</f>
        <v>0</v>
      </c>
      <c r="BM74" s="120">
        <f>'2. ŽO osim OŽ'!H93</f>
        <v>0</v>
      </c>
      <c r="BO74" s="120">
        <f>'3. ŽO zbirno'!H93</f>
        <v>0</v>
      </c>
      <c r="BQ74" s="120">
        <f>'4. N i DZ'!H93</f>
        <v>22980</v>
      </c>
      <c r="BS74" s="120">
        <f>'5. MV'!H93</f>
        <v>0</v>
      </c>
      <c r="BU74" s="120">
        <f>'6. PO i TR'!H93</f>
        <v>0</v>
      </c>
      <c r="BW74" s="120">
        <f>'7. VAZ'!H93</f>
        <v>1496</v>
      </c>
      <c r="BY74" s="120">
        <f>'8. IMOV'!H93</f>
        <v>84934</v>
      </c>
      <c r="CA74" s="120">
        <f>'9. ODG.'!H93</f>
        <v>100889</v>
      </c>
      <c r="CC74" s="120">
        <f>'10.KJ'!H93</f>
        <v>0</v>
      </c>
      <c r="CE74" s="120">
        <f>'11. OST.'!H93</f>
        <v>4508</v>
      </c>
      <c r="CG74" s="120">
        <f>'12. NZZ'!H93</f>
        <v>0</v>
      </c>
      <c r="CI74" s="120">
        <f>'13. ukupno'!H93</f>
        <v>543409</v>
      </c>
      <c r="CJ74" s="124">
        <f t="shared" si="21"/>
        <v>328602</v>
      </c>
      <c r="CK74" s="124">
        <f t="shared" si="22"/>
        <v>543409</v>
      </c>
    </row>
    <row r="75" spans="1:89" ht="25.5">
      <c r="B75" s="121">
        <v>1092</v>
      </c>
      <c r="C75" s="157" t="s">
        <v>343</v>
      </c>
      <c r="D75" s="153"/>
      <c r="E75" s="155">
        <f>VLOOKUP($B75,$AH:$CI,30,FALSE)</f>
        <v>0</v>
      </c>
      <c r="F75" s="155">
        <f t="shared" si="26"/>
        <v>0</v>
      </c>
      <c r="G75" s="155">
        <f>VLOOKUP($B75,$AH:$CI,32,FALSE)</f>
        <v>0</v>
      </c>
      <c r="H75" s="155">
        <f t="shared" si="26"/>
        <v>0</v>
      </c>
      <c r="I75" s="155">
        <f>VLOOKUP($B75,$AH:$CI,34,FALSE)</f>
        <v>0</v>
      </c>
      <c r="J75" s="155">
        <f t="shared" si="26"/>
        <v>0</v>
      </c>
      <c r="K75" s="155">
        <f>VLOOKUP($B75,$AH:$CI,36,FALSE)</f>
        <v>7673</v>
      </c>
      <c r="L75" s="155">
        <f t="shared" si="26"/>
        <v>0</v>
      </c>
      <c r="M75" s="155">
        <f>VLOOKUP($B75,$AH:$CI,38,FALSE)</f>
        <v>0</v>
      </c>
      <c r="N75" s="155">
        <f t="shared" si="26"/>
        <v>0</v>
      </c>
      <c r="O75" s="155">
        <f>VLOOKUP($B75,$AH:$CI,40,FALSE)</f>
        <v>0</v>
      </c>
      <c r="P75" s="155">
        <f t="shared" si="26"/>
        <v>0</v>
      </c>
      <c r="Q75" s="155">
        <f>VLOOKUP($B75,$AH:$CI,42,FALSE)</f>
        <v>530</v>
      </c>
      <c r="R75" s="155">
        <f t="shared" si="26"/>
        <v>0</v>
      </c>
      <c r="S75" s="155">
        <f>VLOOKUP($B75,$AH:$CI,44,FALSE)</f>
        <v>35001</v>
      </c>
      <c r="T75" s="155">
        <f t="shared" si="26"/>
        <v>0</v>
      </c>
      <c r="U75" s="155">
        <f>VLOOKUP($B75,$AH:$CI,46,FALSE)</f>
        <v>38053</v>
      </c>
      <c r="V75" s="155">
        <f t="shared" si="26"/>
        <v>0</v>
      </c>
      <c r="W75" s="155">
        <f>VLOOKUP($B75,$AH:$CI,48,FALSE)</f>
        <v>0</v>
      </c>
      <c r="X75" s="155">
        <f t="shared" si="26"/>
        <v>0</v>
      </c>
      <c r="Y75" s="155">
        <f>VLOOKUP($B75,$AH:$CI,50,FALSE)</f>
        <v>1583</v>
      </c>
      <c r="Z75" s="155">
        <f t="shared" si="26"/>
        <v>0</v>
      </c>
      <c r="AA75" s="155">
        <f>VLOOKUP($B75,$AH:$CI,52,FALSE)</f>
        <v>0</v>
      </c>
      <c r="AB75" s="155"/>
      <c r="AC75" s="155">
        <f>VLOOKUP($B75,$AH:$CI,54,FALSE)</f>
        <v>100916</v>
      </c>
      <c r="AD75" s="121">
        <v>1092</v>
      </c>
      <c r="AE75" s="124">
        <f>AC75-CI95</f>
        <v>0</v>
      </c>
      <c r="AG75" s="85" t="s">
        <v>306</v>
      </c>
      <c r="AH75" s="254">
        <v>1072</v>
      </c>
      <c r="AI75" s="218">
        <f>'1. OŽ'!G94</f>
        <v>0</v>
      </c>
      <c r="AK75" s="218">
        <f>'2. ŽO osim OŽ'!G94</f>
        <v>0</v>
      </c>
      <c r="AM75" s="218">
        <f>'3. ŽO zbirno'!G94</f>
        <v>0</v>
      </c>
      <c r="AO75" s="218">
        <f>'4. N i DZ'!G94</f>
        <v>0</v>
      </c>
      <c r="AQ75" s="218">
        <f>'5. MV'!G94</f>
        <v>0</v>
      </c>
      <c r="AS75" s="218">
        <f>'6. PO i TR'!G94</f>
        <v>0</v>
      </c>
      <c r="AU75" s="218">
        <f>'7. VAZ'!G94</f>
        <v>0</v>
      </c>
      <c r="AW75" s="218">
        <f>'8. IMOV'!G94</f>
        <v>0</v>
      </c>
      <c r="AY75" s="218">
        <f>'9. ODG.'!G94</f>
        <v>0</v>
      </c>
      <c r="BA75" s="218">
        <f>'10.KJ'!G94</f>
        <v>0</v>
      </c>
      <c r="BC75" s="218">
        <f>'11. OST.'!G94</f>
        <v>0</v>
      </c>
      <c r="BE75" s="218">
        <f>'12. NZZ'!G94</f>
        <v>0</v>
      </c>
      <c r="BG75" s="218">
        <f>'13. ukupno'!G94</f>
        <v>0</v>
      </c>
      <c r="BH75" s="124">
        <f t="shared" si="18"/>
        <v>0</v>
      </c>
      <c r="BI75" s="124">
        <f t="shared" si="19"/>
        <v>0</v>
      </c>
      <c r="BJ75" s="124">
        <f t="shared" si="20"/>
        <v>0</v>
      </c>
      <c r="BK75" s="120">
        <f>'1. OŽ'!H94</f>
        <v>0</v>
      </c>
      <c r="BM75" s="120">
        <f>'2. ŽO osim OŽ'!H94</f>
        <v>0</v>
      </c>
      <c r="BO75" s="120">
        <f>'3. ŽO zbirno'!H94</f>
        <v>0</v>
      </c>
      <c r="BQ75" s="120">
        <f>'4. N i DZ'!H94</f>
        <v>0</v>
      </c>
      <c r="BS75" s="120">
        <f>'5. MV'!H94</f>
        <v>0</v>
      </c>
      <c r="BU75" s="120">
        <f>'6. PO i TR'!H94</f>
        <v>0</v>
      </c>
      <c r="BW75" s="120">
        <f>'7. VAZ'!H94</f>
        <v>0</v>
      </c>
      <c r="BY75" s="120">
        <f>'8. IMOV'!H94</f>
        <v>0</v>
      </c>
      <c r="CA75" s="120">
        <f>'9. ODG.'!H94</f>
        <v>0</v>
      </c>
      <c r="CC75" s="120">
        <f>'10.KJ'!H94</f>
        <v>0</v>
      </c>
      <c r="CE75" s="120">
        <f>'11. OST.'!H94</f>
        <v>0</v>
      </c>
      <c r="CG75" s="120">
        <f>'12. NZZ'!H94</f>
        <v>0</v>
      </c>
      <c r="CI75" s="120">
        <f>'13. ukupno'!H94</f>
        <v>0</v>
      </c>
      <c r="CJ75" s="124">
        <f t="shared" si="21"/>
        <v>0</v>
      </c>
      <c r="CK75" s="124">
        <f t="shared" si="22"/>
        <v>0</v>
      </c>
    </row>
    <row r="76" spans="1:89" ht="25.5">
      <c r="B76" s="121">
        <v>1093</v>
      </c>
      <c r="C76" s="156" t="s">
        <v>341</v>
      </c>
      <c r="D76" s="158"/>
      <c r="E76" s="155">
        <f>-VLOOKUP($B76,$AH:$CI,30,FALSE)</f>
        <v>0</v>
      </c>
      <c r="F76" s="155">
        <f t="shared" ref="F76:Z76" si="27">VLOOKUP($B76,$AH:$CI,30,FALSE)</f>
        <v>0</v>
      </c>
      <c r="G76" s="155">
        <f>-VLOOKUP($B76,$AH:$CI,32,FALSE)</f>
        <v>0</v>
      </c>
      <c r="H76" s="155">
        <f t="shared" si="27"/>
        <v>0</v>
      </c>
      <c r="I76" s="155">
        <f>-VLOOKUP($B76,$AH:$CI,34,FALSE)</f>
        <v>0</v>
      </c>
      <c r="J76" s="155">
        <f t="shared" si="27"/>
        <v>0</v>
      </c>
      <c r="K76" s="155">
        <f>-VLOOKUP($B76,$AH:$CI,36,FALSE)</f>
        <v>-4017</v>
      </c>
      <c r="L76" s="155">
        <f t="shared" si="27"/>
        <v>0</v>
      </c>
      <c r="M76" s="155">
        <f>-VLOOKUP($B76,$AH:$CI,38,FALSE)</f>
        <v>0</v>
      </c>
      <c r="N76" s="155">
        <f t="shared" si="27"/>
        <v>0</v>
      </c>
      <c r="O76" s="155">
        <f>-VLOOKUP($B76,$AH:$CI,40,FALSE)</f>
        <v>0</v>
      </c>
      <c r="P76" s="155">
        <f t="shared" si="27"/>
        <v>0</v>
      </c>
      <c r="Q76" s="155">
        <f>-VLOOKUP($B76,$AH:$CI,42,FALSE)</f>
        <v>-231</v>
      </c>
      <c r="R76" s="155">
        <f t="shared" si="27"/>
        <v>0</v>
      </c>
      <c r="S76" s="155">
        <f>-VLOOKUP($B76,$AH:$CI,44,FALSE)</f>
        <v>-14465</v>
      </c>
      <c r="T76" s="155">
        <f t="shared" si="27"/>
        <v>0</v>
      </c>
      <c r="U76" s="155">
        <f>-VLOOKUP($B76,$AH:$CI,46,FALSE)</f>
        <v>-13186</v>
      </c>
      <c r="V76" s="155">
        <f t="shared" si="27"/>
        <v>0</v>
      </c>
      <c r="W76" s="155">
        <f>-VLOOKUP($B76,$AH:$CI,48,FALSE)</f>
        <v>0</v>
      </c>
      <c r="X76" s="155">
        <f t="shared" si="27"/>
        <v>0</v>
      </c>
      <c r="Y76" s="155">
        <f>-VLOOKUP($B76,$AH:$CI,50,FALSE)</f>
        <v>-989</v>
      </c>
      <c r="Z76" s="155">
        <f t="shared" si="27"/>
        <v>0</v>
      </c>
      <c r="AA76" s="155">
        <f>-VLOOKUP($B76,$AH:$CI,52,FALSE)</f>
        <v>0</v>
      </c>
      <c r="AB76" s="155"/>
      <c r="AC76" s="155">
        <f>-VLOOKUP($B76,$AH:$CI,54,FALSE)</f>
        <v>-34644</v>
      </c>
      <c r="AD76" s="121">
        <v>1093</v>
      </c>
      <c r="AE76" s="124">
        <f>AC76+CI96</f>
        <v>0</v>
      </c>
      <c r="AG76" s="49" t="s">
        <v>307</v>
      </c>
      <c r="AH76" s="254">
        <v>1073</v>
      </c>
      <c r="AI76" s="218">
        <f>'1. OŽ'!G95</f>
        <v>401755</v>
      </c>
      <c r="AK76" s="218">
        <f>'2. ŽO osim OŽ'!G95</f>
        <v>32105</v>
      </c>
      <c r="AM76" s="218">
        <f>'3. ŽO zbirno'!G95</f>
        <v>433860</v>
      </c>
      <c r="AO76" s="218">
        <f>'4. N i DZ'!G95</f>
        <v>484998</v>
      </c>
      <c r="AQ76" s="218">
        <f>'5. MV'!G95</f>
        <v>490445</v>
      </c>
      <c r="AS76" s="218">
        <f>'6. PO i TR'!G95</f>
        <v>89185</v>
      </c>
      <c r="AU76" s="218">
        <f>'7. VAZ'!G95</f>
        <v>13921</v>
      </c>
      <c r="AW76" s="218">
        <f>'8. IMOV'!G95</f>
        <v>1800234</v>
      </c>
      <c r="AY76" s="218">
        <f>'9. ODG.'!G95</f>
        <v>3745238</v>
      </c>
      <c r="BA76" s="218">
        <f>'10.KJ'!G95</f>
        <v>14166</v>
      </c>
      <c r="BC76" s="218">
        <f>'11. OST.'!G95</f>
        <v>194954</v>
      </c>
      <c r="BE76" s="218">
        <f>'12. NZZ'!G95</f>
        <v>6833141</v>
      </c>
      <c r="BG76" s="218">
        <f>'13. ukupno'!G95</f>
        <v>7267001</v>
      </c>
      <c r="BH76" s="124">
        <f t="shared" si="18"/>
        <v>0</v>
      </c>
      <c r="BI76" s="124">
        <f t="shared" si="19"/>
        <v>0</v>
      </c>
      <c r="BJ76" s="124">
        <f t="shared" si="20"/>
        <v>0</v>
      </c>
      <c r="BK76" s="120">
        <f>'1. OŽ'!H95</f>
        <v>0</v>
      </c>
      <c r="BM76" s="120">
        <f>'2. ŽO osim OŽ'!H95</f>
        <v>0</v>
      </c>
      <c r="BO76" s="120">
        <f>'3. ŽO zbirno'!H95</f>
        <v>0</v>
      </c>
      <c r="BQ76" s="120">
        <f>'4. N i DZ'!H95</f>
        <v>652571</v>
      </c>
      <c r="BS76" s="120">
        <f>'5. MV'!H95</f>
        <v>0</v>
      </c>
      <c r="BU76" s="120">
        <f>'6. PO i TR'!H95</f>
        <v>0</v>
      </c>
      <c r="BW76" s="120">
        <f>'7. VAZ'!H95</f>
        <v>25159</v>
      </c>
      <c r="BY76" s="120">
        <f>'8. IMOV'!H95</f>
        <v>2138387</v>
      </c>
      <c r="CA76" s="120">
        <f>'9. ODG.'!H95</f>
        <v>3208717</v>
      </c>
      <c r="CC76" s="120">
        <f>'10.KJ'!H95</f>
        <v>0</v>
      </c>
      <c r="CE76" s="120">
        <f>'11. OST.'!H95</f>
        <v>225318</v>
      </c>
      <c r="CG76" s="120">
        <f>'12. NZZ'!H95</f>
        <v>0</v>
      </c>
      <c r="CI76" s="120">
        <f>'13. ukupno'!H95</f>
        <v>7532901</v>
      </c>
      <c r="CJ76" s="124">
        <f t="shared" si="21"/>
        <v>1282749</v>
      </c>
      <c r="CK76" s="124">
        <f t="shared" si="22"/>
        <v>7532901</v>
      </c>
    </row>
    <row r="77" spans="1:89" ht="34.5" thickBot="1">
      <c r="B77" s="121" t="s">
        <v>412</v>
      </c>
      <c r="C77" s="159" t="s">
        <v>394</v>
      </c>
      <c r="D77" s="158"/>
      <c r="E77" s="170">
        <f>E69+E71+E72+E73+E74+E75+E76</f>
        <v>0</v>
      </c>
      <c r="F77" s="171"/>
      <c r="G77" s="170">
        <f>G69+G71+G72+G73+G74+G75+G76</f>
        <v>0</v>
      </c>
      <c r="H77" s="171"/>
      <c r="I77" s="170">
        <f>I69+I71+I72+I73+I74+I75+I76</f>
        <v>0</v>
      </c>
      <c r="J77" s="171"/>
      <c r="K77" s="170">
        <f>K69+K71+K72+K73+K74+K75+K76</f>
        <v>-219809</v>
      </c>
      <c r="L77" s="171"/>
      <c r="M77" s="170">
        <f>M69+M71+M72+M73+M74+M75+M76</f>
        <v>0</v>
      </c>
      <c r="N77" s="171"/>
      <c r="O77" s="172">
        <f>O69+O71+O72+O73+O74+O75+O76</f>
        <v>0</v>
      </c>
      <c r="P77" s="171"/>
      <c r="Q77" s="172">
        <f>Q69+Q71+Q72+Q73+Q74+Q75+Q76</f>
        <v>-39247</v>
      </c>
      <c r="R77" s="171"/>
      <c r="S77" s="172">
        <f>S69+S71+S72+S73+S74+S75+S76</f>
        <v>-361840</v>
      </c>
      <c r="T77" s="171"/>
      <c r="U77" s="172">
        <f>U69+U71+U72+U73+U74+U75+U76</f>
        <v>-260931</v>
      </c>
      <c r="V77" s="173"/>
      <c r="W77" s="172">
        <f>W69+W71+W72+W73+W74+W75+W76</f>
        <v>0</v>
      </c>
      <c r="X77" s="173"/>
      <c r="Y77" s="172">
        <f>Y69+Y71+Y72+Y73+Y74+Y75+Y76</f>
        <v>-14966</v>
      </c>
      <c r="Z77" s="173"/>
      <c r="AA77" s="172">
        <f>AA69+AA71+AA72+AA73+AA74+AA75+AA76</f>
        <v>0</v>
      </c>
      <c r="AB77" s="173"/>
      <c r="AC77" s="172">
        <f>AC69+AC71+AC72+AC73+AC74+AC75+AC76</f>
        <v>-1381997</v>
      </c>
      <c r="AD77" s="121" t="s">
        <v>412</v>
      </c>
      <c r="AE77" s="124">
        <f>AC77+CI98-CI97</f>
        <v>0</v>
      </c>
      <c r="AG77" s="85" t="s">
        <v>308</v>
      </c>
      <c r="AH77" s="255">
        <v>1074</v>
      </c>
      <c r="AI77" s="219">
        <f>'1. OŽ'!G96</f>
        <v>353338</v>
      </c>
      <c r="AK77" s="219">
        <f>'2. ŽO osim OŽ'!G96</f>
        <v>28246</v>
      </c>
      <c r="AM77" s="219">
        <f>'3. ŽO zbirno'!G96</f>
        <v>381584</v>
      </c>
      <c r="AO77" s="219">
        <f>'4. N i DZ'!G96</f>
        <v>351985</v>
      </c>
      <c r="AQ77" s="219">
        <f>'5. MV'!G96</f>
        <v>345202</v>
      </c>
      <c r="AS77" s="219">
        <f>'6. PO i TR'!G96</f>
        <v>57624</v>
      </c>
      <c r="AU77" s="219">
        <f>'7. VAZ'!G96</f>
        <v>9248</v>
      </c>
      <c r="AW77" s="219">
        <f>'8. IMOV'!G96</f>
        <v>1268208</v>
      </c>
      <c r="AY77" s="219">
        <f>'9. ODG.'!G96</f>
        <v>2782216</v>
      </c>
      <c r="BA77" s="219">
        <f>'10.KJ'!G96</f>
        <v>11441</v>
      </c>
      <c r="BC77" s="219">
        <f>'11. OST.'!G96</f>
        <v>157942</v>
      </c>
      <c r="BE77" s="219">
        <f>'12. NZZ'!G96</f>
        <v>4983866</v>
      </c>
      <c r="BG77" s="219">
        <f>'13. ukupno'!G96</f>
        <v>5365450</v>
      </c>
      <c r="BH77" s="124">
        <f t="shared" si="18"/>
        <v>0</v>
      </c>
      <c r="BI77" s="124">
        <f t="shared" si="19"/>
        <v>0</v>
      </c>
      <c r="BJ77" s="124">
        <f t="shared" si="20"/>
        <v>0</v>
      </c>
      <c r="BK77" s="120">
        <f>'1. OŽ'!H96</f>
        <v>0</v>
      </c>
      <c r="BM77" s="120">
        <f>'2. ŽO osim OŽ'!H96</f>
        <v>0</v>
      </c>
      <c r="BO77" s="120">
        <f>'3. ŽO zbirno'!H96</f>
        <v>0</v>
      </c>
      <c r="BQ77" s="120">
        <f>'4. N i DZ'!H96</f>
        <v>424744</v>
      </c>
      <c r="BS77" s="120">
        <f>'5. MV'!H96</f>
        <v>0</v>
      </c>
      <c r="BU77" s="120">
        <f>'6. PO i TR'!H96</f>
        <v>0</v>
      </c>
      <c r="BW77" s="120">
        <f>'7. VAZ'!H96</f>
        <v>12399</v>
      </c>
      <c r="BY77" s="120">
        <f>'8. IMOV'!H96</f>
        <v>1350272</v>
      </c>
      <c r="CA77" s="120">
        <f>'9. ODG.'!H96</f>
        <v>2180149</v>
      </c>
      <c r="CC77" s="120">
        <f>'10.KJ'!H96</f>
        <v>0</v>
      </c>
      <c r="CE77" s="120">
        <f>'11. OST.'!H96</f>
        <v>170204</v>
      </c>
      <c r="CG77" s="120">
        <f>'12. NZZ'!H96</f>
        <v>0</v>
      </c>
      <c r="CI77" s="120">
        <f>'13. ukupno'!H96</f>
        <v>5110192</v>
      </c>
      <c r="CJ77" s="124">
        <f t="shared" si="21"/>
        <v>972424</v>
      </c>
      <c r="CK77" s="124">
        <f t="shared" si="22"/>
        <v>5110192</v>
      </c>
    </row>
    <row r="78" spans="1:89" ht="22.5" customHeight="1" thickTop="1">
      <c r="A78" s="117">
        <v>1096</v>
      </c>
      <c r="B78" s="121">
        <v>1097</v>
      </c>
      <c r="C78" s="139" t="s">
        <v>338</v>
      </c>
      <c r="D78" s="160"/>
      <c r="E78" s="144">
        <f>-VLOOKUP($A78,$AH:$CI,29,FALSE)+VLOOKUP($B78,$AH:$CI,29,FALSE)</f>
        <v>0</v>
      </c>
      <c r="F78" s="155"/>
      <c r="G78" s="144">
        <f>-VLOOKUP($A78,$AH:$CI,31,FALSE)+VLOOKUP($B78,$AH:$CI,31,FALSE)</f>
        <v>0</v>
      </c>
      <c r="H78" s="155"/>
      <c r="I78" s="144">
        <f>-VLOOKUP($A78,$AH:$CI,33,FALSE)+VLOOKUP($B78,$AH:$CI,33,FALSE)</f>
        <v>0</v>
      </c>
      <c r="J78" s="155"/>
      <c r="K78" s="144">
        <f>-VLOOKUP($A78,$AH:$CI,35,FALSE)+VLOOKUP($B78,$AH:$CI,35,FALSE)</f>
        <v>0</v>
      </c>
      <c r="L78" s="155"/>
      <c r="M78" s="144">
        <f>-VLOOKUP($A78,$AH:$CI,37,FALSE)+VLOOKUP($B78,$AH:$CI,37,FALSE)</f>
        <v>0</v>
      </c>
      <c r="N78" s="155"/>
      <c r="O78" s="144">
        <f>-VLOOKUP($A78,$AH:$CI,39,FALSE)+VLOOKUP($B78,$AH:$CI,39,FALSE)</f>
        <v>0</v>
      </c>
      <c r="P78" s="155"/>
      <c r="Q78" s="144">
        <f>-VLOOKUP($A78,$AH:$CI,41,FALSE)+VLOOKUP($B78,$AH:$CI,41,FALSE)</f>
        <v>0</v>
      </c>
      <c r="R78" s="155"/>
      <c r="S78" s="144">
        <f>-VLOOKUP($A78,$AH:$CI,43,FALSE)+VLOOKUP($B78,$AH:$CI,43,FALSE)</f>
        <v>0</v>
      </c>
      <c r="T78" s="155"/>
      <c r="U78" s="144">
        <f>-VLOOKUP($A78,$AH:$CI,45,FALSE)+VLOOKUP($B78,$AH:$CI,45,FALSE)</f>
        <v>0</v>
      </c>
      <c r="V78" s="155"/>
      <c r="W78" s="144">
        <f>-VLOOKUP($A78,$AH:$CI,47,FALSE)+VLOOKUP($B78,$AH:$CI,47,FALSE)</f>
        <v>0</v>
      </c>
      <c r="X78" s="155"/>
      <c r="Y78" s="144">
        <f>-VLOOKUP($A78,$AH:$CI,49,FALSE)+VLOOKUP($B78,$AH:$CI,49,FALSE)</f>
        <v>0</v>
      </c>
      <c r="Z78" s="155"/>
      <c r="AA78" s="144">
        <f>-VLOOKUP($A78,$AH:$CI,51,FALSE)+VLOOKUP($B78,$AH:$CI,51,FALSE)</f>
        <v>0</v>
      </c>
      <c r="AB78" s="155"/>
      <c r="AC78" s="183">
        <f>-VLOOKUP($A78,$AH:$CI,53,FALSE)+VLOOKUP($B78,$AH:$CI,53,FALSE)</f>
        <v>0</v>
      </c>
      <c r="AD78" s="121">
        <v>1097</v>
      </c>
      <c r="AE78" s="124">
        <f>AC78-CI99+CI100</f>
        <v>0</v>
      </c>
      <c r="AG78" s="39" t="s">
        <v>58</v>
      </c>
      <c r="AH78" s="256">
        <v>1075</v>
      </c>
      <c r="AI78" s="220">
        <f>'1. OŽ'!G97</f>
        <v>823</v>
      </c>
      <c r="AK78" s="220">
        <f>'2. ŽO osim OŽ'!G97</f>
        <v>7</v>
      </c>
      <c r="AM78" s="220">
        <f>'3. ŽO zbirno'!G97</f>
        <v>830</v>
      </c>
      <c r="AO78" s="220">
        <f>'4. N i DZ'!G97</f>
        <v>31954</v>
      </c>
      <c r="AQ78" s="220">
        <f>'5. MV'!G97</f>
        <v>34964</v>
      </c>
      <c r="AS78" s="220">
        <f>'6. PO i TR'!G97</f>
        <v>11649</v>
      </c>
      <c r="AU78" s="220">
        <f>'7. VAZ'!G97</f>
        <v>111</v>
      </c>
      <c r="AW78" s="220">
        <f>'8. IMOV'!G97</f>
        <v>116795</v>
      </c>
      <c r="AY78" s="220">
        <f>'9. ODG.'!G97</f>
        <v>305025</v>
      </c>
      <c r="BA78" s="220">
        <f>'10.KJ'!G97</f>
        <v>1980</v>
      </c>
      <c r="BC78" s="220">
        <f>'11. OST.'!G97</f>
        <v>42683</v>
      </c>
      <c r="BE78" s="220">
        <f>'12. NZZ'!G97</f>
        <v>545161</v>
      </c>
      <c r="BG78" s="220">
        <f>'13. ukupno'!G97</f>
        <v>545991</v>
      </c>
      <c r="BH78" s="124">
        <f t="shared" si="18"/>
        <v>0</v>
      </c>
      <c r="BI78" s="124">
        <f t="shared" si="19"/>
        <v>0</v>
      </c>
      <c r="BJ78" s="124">
        <f t="shared" si="20"/>
        <v>0</v>
      </c>
      <c r="BK78" s="120">
        <f>'1. OŽ'!H97</f>
        <v>0</v>
      </c>
      <c r="BM78" s="120">
        <f>'2. ŽO osim OŽ'!H97</f>
        <v>0</v>
      </c>
      <c r="BO78" s="120">
        <f>'3. ŽO zbirno'!H97</f>
        <v>0</v>
      </c>
      <c r="BQ78" s="120">
        <f>'4. N i DZ'!H97</f>
        <v>31892</v>
      </c>
      <c r="BS78" s="120">
        <f>'5. MV'!H97</f>
        <v>0</v>
      </c>
      <c r="BU78" s="120">
        <f>'6. PO i TR'!H97</f>
        <v>0</v>
      </c>
      <c r="BW78" s="120">
        <f>'7. VAZ'!H97</f>
        <v>379</v>
      </c>
      <c r="BY78" s="120">
        <f>'8. IMOV'!H97</f>
        <v>109240</v>
      </c>
      <c r="CA78" s="120">
        <f>'9. ODG.'!H97</f>
        <v>244348</v>
      </c>
      <c r="CC78" s="120">
        <f>'10.KJ'!H97</f>
        <v>0</v>
      </c>
      <c r="CE78" s="120">
        <f>'11. OST.'!H97</f>
        <v>30162</v>
      </c>
      <c r="CG78" s="120">
        <f>'12. NZZ'!H97</f>
        <v>0</v>
      </c>
      <c r="CI78" s="120">
        <f>'13. ukupno'!H97</f>
        <v>465772</v>
      </c>
      <c r="CJ78" s="124">
        <f t="shared" si="21"/>
        <v>49751</v>
      </c>
      <c r="CK78" s="124">
        <f t="shared" si="22"/>
        <v>465772</v>
      </c>
    </row>
    <row r="79" spans="1:89" ht="13.5" thickBot="1">
      <c r="B79" s="121" t="s">
        <v>335</v>
      </c>
      <c r="C79" s="139" t="s">
        <v>336</v>
      </c>
      <c r="D79" s="161"/>
      <c r="E79" s="182">
        <f>E77+E78</f>
        <v>0</v>
      </c>
      <c r="F79" s="161">
        <f t="shared" ref="F79:AC79" si="28">F77+F78</f>
        <v>0</v>
      </c>
      <c r="G79" s="182">
        <f t="shared" si="28"/>
        <v>0</v>
      </c>
      <c r="H79" s="161">
        <f t="shared" si="28"/>
        <v>0</v>
      </c>
      <c r="I79" s="182">
        <f t="shared" si="28"/>
        <v>0</v>
      </c>
      <c r="J79" s="161">
        <f t="shared" si="28"/>
        <v>0</v>
      </c>
      <c r="K79" s="182">
        <f t="shared" si="28"/>
        <v>-219809</v>
      </c>
      <c r="L79" s="161">
        <f t="shared" si="28"/>
        <v>0</v>
      </c>
      <c r="M79" s="182">
        <f t="shared" si="28"/>
        <v>0</v>
      </c>
      <c r="N79" s="161">
        <f t="shared" si="28"/>
        <v>0</v>
      </c>
      <c r="O79" s="182">
        <f t="shared" si="28"/>
        <v>0</v>
      </c>
      <c r="P79" s="161">
        <f t="shared" si="28"/>
        <v>0</v>
      </c>
      <c r="Q79" s="182">
        <f t="shared" si="28"/>
        <v>-39247</v>
      </c>
      <c r="R79" s="161">
        <f t="shared" si="28"/>
        <v>0</v>
      </c>
      <c r="S79" s="182">
        <f t="shared" si="28"/>
        <v>-361840</v>
      </c>
      <c r="T79" s="161">
        <f t="shared" si="28"/>
        <v>0</v>
      </c>
      <c r="U79" s="182">
        <f t="shared" si="28"/>
        <v>-260931</v>
      </c>
      <c r="V79" s="161">
        <f t="shared" si="28"/>
        <v>0</v>
      </c>
      <c r="W79" s="182">
        <f t="shared" si="28"/>
        <v>0</v>
      </c>
      <c r="X79" s="161">
        <f t="shared" si="28"/>
        <v>0</v>
      </c>
      <c r="Y79" s="182">
        <f t="shared" si="28"/>
        <v>-14966</v>
      </c>
      <c r="Z79" s="161">
        <f t="shared" si="28"/>
        <v>0</v>
      </c>
      <c r="AA79" s="182">
        <f t="shared" si="28"/>
        <v>0</v>
      </c>
      <c r="AB79" s="161">
        <f t="shared" si="28"/>
        <v>0</v>
      </c>
      <c r="AC79" s="162">
        <f t="shared" si="28"/>
        <v>-1381997</v>
      </c>
      <c r="AD79" s="121" t="s">
        <v>335</v>
      </c>
      <c r="AE79" s="124">
        <f>AC79+CI102-CI101</f>
        <v>0</v>
      </c>
      <c r="AG79" s="39" t="s">
        <v>60</v>
      </c>
      <c r="AH79" s="256">
        <v>1076</v>
      </c>
      <c r="AI79" s="220">
        <f>'1. OŽ'!G98</f>
        <v>352515</v>
      </c>
      <c r="AK79" s="220">
        <f>'2. ŽO osim OŽ'!G98</f>
        <v>28239</v>
      </c>
      <c r="AM79" s="220">
        <f>'3. ŽO zbirno'!G98</f>
        <v>380754</v>
      </c>
      <c r="AO79" s="220">
        <f>'4. N i DZ'!G98</f>
        <v>303656</v>
      </c>
      <c r="AQ79" s="220">
        <f>'5. MV'!G98</f>
        <v>280007</v>
      </c>
      <c r="AS79" s="220">
        <f>'6. PO i TR'!G98</f>
        <v>40050</v>
      </c>
      <c r="AU79" s="220">
        <f>'7. VAZ'!G98</f>
        <v>8386</v>
      </c>
      <c r="AW79" s="220">
        <f>'8. IMOV'!G98</f>
        <v>1042368</v>
      </c>
      <c r="AY79" s="220">
        <f>'9. ODG.'!G98</f>
        <v>2767538</v>
      </c>
      <c r="BA79" s="220">
        <f>'10.KJ'!G98</f>
        <v>9175</v>
      </c>
      <c r="BC79" s="220">
        <f>'11. OST.'!G98</f>
        <v>116390</v>
      </c>
      <c r="BE79" s="220">
        <f>'12. NZZ'!G98</f>
        <v>4567570</v>
      </c>
      <c r="BG79" s="220">
        <f>'13. ukupno'!G98</f>
        <v>4948324</v>
      </c>
      <c r="BH79" s="124">
        <f t="shared" si="18"/>
        <v>0</v>
      </c>
      <c r="BI79" s="124">
        <f t="shared" si="19"/>
        <v>0</v>
      </c>
      <c r="BJ79" s="124">
        <f t="shared" si="20"/>
        <v>0</v>
      </c>
      <c r="BK79" s="120">
        <f>'1. OŽ'!H98</f>
        <v>0</v>
      </c>
      <c r="BM79" s="120">
        <f>'2. ŽO osim OŽ'!H98</f>
        <v>0</v>
      </c>
      <c r="BO79" s="120">
        <f>'3. ŽO zbirno'!H98</f>
        <v>0</v>
      </c>
      <c r="BQ79" s="120">
        <f>'4. N i DZ'!H98</f>
        <v>398668</v>
      </c>
      <c r="BS79" s="120">
        <f>'5. MV'!H98</f>
        <v>0</v>
      </c>
      <c r="BU79" s="120">
        <f>'6. PO i TR'!H98</f>
        <v>0</v>
      </c>
      <c r="BW79" s="120">
        <f>'7. VAZ'!H98</f>
        <v>15472</v>
      </c>
      <c r="BY79" s="120">
        <f>'8. IMOV'!H98</f>
        <v>1232429</v>
      </c>
      <c r="CA79" s="120">
        <f>'9. ODG.'!H98</f>
        <v>2078991</v>
      </c>
      <c r="CC79" s="120">
        <f>'10.KJ'!H98</f>
        <v>0</v>
      </c>
      <c r="CE79" s="120">
        <f>'11. OST.'!H98</f>
        <v>141804</v>
      </c>
      <c r="CG79" s="120">
        <f>'12. NZZ'!H98</f>
        <v>0</v>
      </c>
      <c r="CI79" s="120">
        <f>'13. ukupno'!H98</f>
        <v>4742134</v>
      </c>
      <c r="CJ79" s="124">
        <f t="shared" si="21"/>
        <v>874770</v>
      </c>
      <c r="CK79" s="124">
        <f t="shared" si="22"/>
        <v>4742134</v>
      </c>
    </row>
    <row r="80" spans="1:89" ht="26.25" thickTop="1">
      <c r="AE80" s="124"/>
      <c r="AG80" s="39" t="s">
        <v>62</v>
      </c>
      <c r="AH80" s="256">
        <v>1077</v>
      </c>
      <c r="AI80" s="220">
        <f>'1. OŽ'!G99</f>
        <v>0</v>
      </c>
      <c r="AK80" s="220">
        <f>'2. ŽO osim OŽ'!G99</f>
        <v>0</v>
      </c>
      <c r="AM80" s="220">
        <f>'3. ŽO zbirno'!G99</f>
        <v>0</v>
      </c>
      <c r="AO80" s="220">
        <f>'4. N i DZ'!G99</f>
        <v>0</v>
      </c>
      <c r="AQ80" s="220">
        <f>'5. MV'!G99</f>
        <v>0</v>
      </c>
      <c r="AS80" s="220">
        <f>'6. PO i TR'!G99</f>
        <v>0</v>
      </c>
      <c r="AU80" s="220">
        <f>'7. VAZ'!G99</f>
        <v>0</v>
      </c>
      <c r="AW80" s="220">
        <f>'8. IMOV'!G99</f>
        <v>0</v>
      </c>
      <c r="AY80" s="220">
        <f>'9. ODG.'!G99</f>
        <v>290347</v>
      </c>
      <c r="BA80" s="220">
        <f>'10.KJ'!G99</f>
        <v>0</v>
      </c>
      <c r="BC80" s="220">
        <f>'11. OST.'!G99</f>
        <v>1131</v>
      </c>
      <c r="BE80" s="220">
        <f>'12. NZZ'!G99</f>
        <v>128865</v>
      </c>
      <c r="BG80" s="220">
        <f>'13. ukupno'!G99</f>
        <v>128865</v>
      </c>
      <c r="BH80" s="124">
        <f t="shared" si="18"/>
        <v>0</v>
      </c>
      <c r="BI80" s="124">
        <f t="shared" si="19"/>
        <v>-162613</v>
      </c>
      <c r="BJ80" s="124">
        <f t="shared" si="20"/>
        <v>0</v>
      </c>
      <c r="BK80" s="120">
        <f>'1. OŽ'!H99</f>
        <v>0</v>
      </c>
      <c r="BM80" s="120">
        <f>'2. ŽO osim OŽ'!H99</f>
        <v>0</v>
      </c>
      <c r="BO80" s="120">
        <f>'3. ŽO zbirno'!H99</f>
        <v>0</v>
      </c>
      <c r="BQ80" s="120">
        <f>'4. N i DZ'!H99</f>
        <v>5816</v>
      </c>
      <c r="BS80" s="120">
        <f>'5. MV'!H99</f>
        <v>0</v>
      </c>
      <c r="BU80" s="120">
        <f>'6. PO i TR'!H99</f>
        <v>0</v>
      </c>
      <c r="BW80" s="120">
        <f>'7. VAZ'!H99</f>
        <v>3452</v>
      </c>
      <c r="BY80" s="120">
        <f>'8. IMOV'!H99</f>
        <v>0</v>
      </c>
      <c r="CA80" s="120">
        <f>'9. ODG.'!H99</f>
        <v>143190</v>
      </c>
      <c r="CC80" s="120">
        <f>'10.KJ'!H99</f>
        <v>0</v>
      </c>
      <c r="CE80" s="120">
        <f>'11. OST.'!H99</f>
        <v>1762</v>
      </c>
      <c r="CG80" s="120">
        <f>'12. NZZ'!H99</f>
        <v>0</v>
      </c>
      <c r="CI80" s="120">
        <f>'13. ukupno'!H99</f>
        <v>97714</v>
      </c>
      <c r="CJ80" s="124">
        <f t="shared" si="21"/>
        <v>-56506</v>
      </c>
      <c r="CK80" s="124">
        <f t="shared" si="22"/>
        <v>97714</v>
      </c>
    </row>
    <row r="81" spans="5:89" ht="25.5">
      <c r="E81" s="128"/>
      <c r="F81" s="178"/>
      <c r="G81" s="128"/>
      <c r="H81" s="178"/>
      <c r="I81" s="128"/>
      <c r="J81" s="178"/>
      <c r="K81" s="128"/>
      <c r="L81" s="178"/>
      <c r="M81" s="128"/>
      <c r="N81" s="178"/>
      <c r="O81" s="128"/>
      <c r="P81" s="178"/>
      <c r="Q81" s="128"/>
      <c r="R81" s="178"/>
      <c r="S81" s="128"/>
      <c r="T81" s="178"/>
      <c r="U81" s="128"/>
      <c r="V81" s="178"/>
      <c r="W81" s="128"/>
      <c r="X81" s="178"/>
      <c r="Y81" s="128"/>
      <c r="Z81" s="178"/>
      <c r="AA81" s="128"/>
      <c r="AB81" s="178"/>
      <c r="AC81" s="128"/>
      <c r="AE81" s="124"/>
      <c r="AG81" s="39" t="s">
        <v>63</v>
      </c>
      <c r="AH81" s="256">
        <v>1078</v>
      </c>
      <c r="AI81" s="220">
        <f>'1. OŽ'!G100</f>
        <v>0</v>
      </c>
      <c r="AK81" s="220">
        <f>'2. ŽO osim OŽ'!G100</f>
        <v>0</v>
      </c>
      <c r="AM81" s="220">
        <f>'3. ŽO zbirno'!G100</f>
        <v>0</v>
      </c>
      <c r="AO81" s="220">
        <f>'4. N i DZ'!G100</f>
        <v>16375</v>
      </c>
      <c r="AQ81" s="220">
        <f>'5. MV'!G100</f>
        <v>30231</v>
      </c>
      <c r="AS81" s="220">
        <f>'6. PO i TR'!G100</f>
        <v>5925</v>
      </c>
      <c r="AU81" s="220">
        <f>'7. VAZ'!G100</f>
        <v>751</v>
      </c>
      <c r="AW81" s="220">
        <f>'8. IMOV'!G100</f>
        <v>109045</v>
      </c>
      <c r="AY81" s="220">
        <f>'9. ODG.'!G100</f>
        <v>0</v>
      </c>
      <c r="BA81" s="220">
        <f>'10.KJ'!G100</f>
        <v>286</v>
      </c>
      <c r="BC81" s="220">
        <f>'11. OST.'!G100</f>
        <v>0</v>
      </c>
      <c r="BE81" s="220">
        <f>'12. NZZ'!G100</f>
        <v>0</v>
      </c>
      <c r="BG81" s="220">
        <f>'13. ukupno'!G100</f>
        <v>0</v>
      </c>
      <c r="BH81" s="124">
        <f t="shared" si="18"/>
        <v>0</v>
      </c>
      <c r="BI81" s="124">
        <f t="shared" si="19"/>
        <v>-162613</v>
      </c>
      <c r="BJ81" s="124">
        <f t="shared" si="20"/>
        <v>0</v>
      </c>
      <c r="BK81" s="120">
        <f>'1. OŽ'!H100</f>
        <v>0</v>
      </c>
      <c r="BM81" s="120">
        <f>'2. ŽO osim OŽ'!H100</f>
        <v>0</v>
      </c>
      <c r="BO81" s="120">
        <f>'3. ŽO zbirno'!H100</f>
        <v>0</v>
      </c>
      <c r="BQ81" s="120">
        <f>'4. N i DZ'!H100</f>
        <v>0</v>
      </c>
      <c r="BS81" s="120">
        <f>'5. MV'!H100</f>
        <v>0</v>
      </c>
      <c r="BU81" s="120">
        <f>'6. PO i TR'!H100</f>
        <v>0</v>
      </c>
      <c r="BW81" s="120">
        <f>'7. VAZ'!H100</f>
        <v>0</v>
      </c>
      <c r="BY81" s="120">
        <f>'8. IMOV'!H100</f>
        <v>8603</v>
      </c>
      <c r="CA81" s="120">
        <f>'9. ODG.'!H100</f>
        <v>0</v>
      </c>
      <c r="CC81" s="120">
        <f>'10.KJ'!H100</f>
        <v>0</v>
      </c>
      <c r="CE81" s="120">
        <f>'11. OST.'!H100</f>
        <v>0</v>
      </c>
      <c r="CG81" s="120">
        <f>'12. NZZ'!H100</f>
        <v>0</v>
      </c>
      <c r="CI81" s="120">
        <f>'13. ukupno'!H100</f>
        <v>0</v>
      </c>
      <c r="CJ81" s="124">
        <f t="shared" si="21"/>
        <v>-8603</v>
      </c>
      <c r="CK81" s="124">
        <f t="shared" si="22"/>
        <v>0</v>
      </c>
    </row>
    <row r="82" spans="5:89" ht="12.75">
      <c r="AE82" s="124"/>
      <c r="AG82" s="85" t="s">
        <v>309</v>
      </c>
      <c r="AH82" s="255">
        <v>1079</v>
      </c>
      <c r="AI82" s="219">
        <f>'1. OŽ'!G101</f>
        <v>45049</v>
      </c>
      <c r="AK82" s="219">
        <f>'2. ŽO osim OŽ'!G101</f>
        <v>3564</v>
      </c>
      <c r="AM82" s="219">
        <f>'3. ŽO zbirno'!G101</f>
        <v>48613</v>
      </c>
      <c r="AO82" s="219">
        <f>'4. N i DZ'!G101</f>
        <v>124315</v>
      </c>
      <c r="AQ82" s="219">
        <f>'5. MV'!G101</f>
        <v>135725</v>
      </c>
      <c r="AS82" s="219">
        <f>'6. PO i TR'!G101</f>
        <v>30683</v>
      </c>
      <c r="AU82" s="219">
        <f>'7. VAZ'!G101</f>
        <v>6093</v>
      </c>
      <c r="AW82" s="219">
        <f>'8. IMOV'!G101</f>
        <v>603440</v>
      </c>
      <c r="AY82" s="219">
        <f>'9. ODG.'!G101</f>
        <v>909106</v>
      </c>
      <c r="BA82" s="219">
        <f>'10.KJ'!G101</f>
        <v>6052</v>
      </c>
      <c r="BC82" s="219">
        <f>'11. OST.'!G101</f>
        <v>34609</v>
      </c>
      <c r="BE82" s="219">
        <f>'12. NZZ'!G101</f>
        <v>1850023</v>
      </c>
      <c r="BG82" s="219">
        <f>'13. ukupno'!G101</f>
        <v>1898636</v>
      </c>
      <c r="BH82" s="124">
        <f t="shared" si="18"/>
        <v>0</v>
      </c>
      <c r="BI82" s="124">
        <f t="shared" si="19"/>
        <v>0</v>
      </c>
      <c r="BJ82" s="124">
        <f t="shared" si="20"/>
        <v>0</v>
      </c>
      <c r="BK82" s="120">
        <f>'1. OŽ'!H101</f>
        <v>0</v>
      </c>
      <c r="BM82" s="120">
        <f>'2. ŽO osim OŽ'!H101</f>
        <v>0</v>
      </c>
      <c r="BO82" s="120">
        <f>'3. ŽO zbirno'!H101</f>
        <v>0</v>
      </c>
      <c r="BQ82" s="120">
        <f>'4. N i DZ'!H101</f>
        <v>215600</v>
      </c>
      <c r="BS82" s="120">
        <f>'5. MV'!H101</f>
        <v>0</v>
      </c>
      <c r="BU82" s="120">
        <f>'6. PO i TR'!H101</f>
        <v>0</v>
      </c>
      <c r="BW82" s="120">
        <f>'7. VAZ'!H101</f>
        <v>13210</v>
      </c>
      <c r="BY82" s="120">
        <f>'8. IMOV'!H101</f>
        <v>808363</v>
      </c>
      <c r="CA82" s="120">
        <f>'9. ODG.'!H101</f>
        <v>984363</v>
      </c>
      <c r="CC82" s="120">
        <f>'10.KJ'!H101</f>
        <v>0</v>
      </c>
      <c r="CE82" s="120">
        <f>'11. OST.'!H101</f>
        <v>52015</v>
      </c>
      <c r="CG82" s="120">
        <f>'12. NZZ'!H101</f>
        <v>0</v>
      </c>
      <c r="CI82" s="120">
        <f>'13. ukupno'!H101</f>
        <v>2413594</v>
      </c>
      <c r="CJ82" s="124">
        <f t="shared" si="21"/>
        <v>340043</v>
      </c>
      <c r="CK82" s="124">
        <f t="shared" si="22"/>
        <v>2413594</v>
      </c>
    </row>
    <row r="83" spans="5:89" ht="12.75">
      <c r="AE83" s="124"/>
      <c r="AG83" s="39" t="s">
        <v>65</v>
      </c>
      <c r="AH83" s="256">
        <v>1080</v>
      </c>
      <c r="AI83" s="220">
        <f>'1. OŽ'!G102</f>
        <v>26730</v>
      </c>
      <c r="AK83" s="220">
        <f>'2. ŽO osim OŽ'!G102</f>
        <v>2143</v>
      </c>
      <c r="AM83" s="220">
        <f>'3. ŽO zbirno'!G102</f>
        <v>28873</v>
      </c>
      <c r="AO83" s="220">
        <f>'4. N i DZ'!G102</f>
        <v>30249</v>
      </c>
      <c r="AQ83" s="220">
        <f>'5. MV'!G102</f>
        <v>32917</v>
      </c>
      <c r="AS83" s="220">
        <f>'6. PO i TR'!G102</f>
        <v>7062</v>
      </c>
      <c r="AU83" s="220">
        <f>'7. VAZ'!G102</f>
        <v>1393</v>
      </c>
      <c r="AW83" s="220">
        <f>'8. IMOV'!G102</f>
        <v>141381</v>
      </c>
      <c r="AY83" s="220">
        <f>'9. ODG.'!G102</f>
        <v>221019</v>
      </c>
      <c r="BA83" s="220">
        <f>'10.KJ'!G102</f>
        <v>1525</v>
      </c>
      <c r="BC83" s="220">
        <f>'11. OST.'!G102</f>
        <v>8503</v>
      </c>
      <c r="BE83" s="220">
        <f>'12. NZZ'!G102</f>
        <v>444049</v>
      </c>
      <c r="BG83" s="220">
        <f>'13. ukupno'!G102</f>
        <v>472922</v>
      </c>
      <c r="BH83" s="124">
        <f t="shared" si="18"/>
        <v>0</v>
      </c>
      <c r="BI83" s="124">
        <f t="shared" si="19"/>
        <v>0</v>
      </c>
      <c r="BJ83" s="124">
        <f t="shared" si="20"/>
        <v>0</v>
      </c>
      <c r="BK83" s="120">
        <f>'1. OŽ'!H102</f>
        <v>0</v>
      </c>
      <c r="BM83" s="120">
        <f>'2. ŽO osim OŽ'!H102</f>
        <v>0</v>
      </c>
      <c r="BO83" s="120">
        <f>'3. ŽO zbirno'!H102</f>
        <v>0</v>
      </c>
      <c r="BQ83" s="120">
        <f>'4. N i DZ'!H102</f>
        <v>42982</v>
      </c>
      <c r="BS83" s="120">
        <f>'5. MV'!H102</f>
        <v>0</v>
      </c>
      <c r="BU83" s="120">
        <f>'6. PO i TR'!H102</f>
        <v>0</v>
      </c>
      <c r="BW83" s="120">
        <f>'7. VAZ'!H102</f>
        <v>2399</v>
      </c>
      <c r="BY83" s="120">
        <f>'8. IMOV'!H102</f>
        <v>156994</v>
      </c>
      <c r="CA83" s="120">
        <f>'9. ODG.'!H102</f>
        <v>194526</v>
      </c>
      <c r="CC83" s="120">
        <f>'10.KJ'!H102</f>
        <v>0</v>
      </c>
      <c r="CE83" s="120">
        <f>'11. OST.'!H102</f>
        <v>10461</v>
      </c>
      <c r="CG83" s="120">
        <f>'12. NZZ'!H102</f>
        <v>0</v>
      </c>
      <c r="CI83" s="120">
        <f>'13. ukupno'!H102</f>
        <v>492080</v>
      </c>
      <c r="CJ83" s="124">
        <f t="shared" si="21"/>
        <v>84718</v>
      </c>
      <c r="CK83" s="124">
        <f t="shared" si="22"/>
        <v>492080</v>
      </c>
    </row>
    <row r="84" spans="5:89" ht="25.5">
      <c r="AE84" s="124"/>
      <c r="AG84" s="39" t="s">
        <v>67</v>
      </c>
      <c r="AH84" s="256">
        <v>1081</v>
      </c>
      <c r="AI84" s="220">
        <f>'1. OŽ'!G103</f>
        <v>6887</v>
      </c>
      <c r="AK84" s="220">
        <f>'2. ŽO osim OŽ'!G103</f>
        <v>551</v>
      </c>
      <c r="AM84" s="220">
        <f>'3. ŽO zbirno'!G103</f>
        <v>7438</v>
      </c>
      <c r="AO84" s="220">
        <f>'4. N i DZ'!G103</f>
        <v>28441</v>
      </c>
      <c r="AQ84" s="220">
        <f>'5. MV'!G103</f>
        <v>30612</v>
      </c>
      <c r="AS84" s="220">
        <f>'6. PO i TR'!G103</f>
        <v>6984</v>
      </c>
      <c r="AU84" s="220">
        <f>'7. VAZ'!G103</f>
        <v>1386</v>
      </c>
      <c r="AW84" s="220">
        <f>'8. IMOV'!G103</f>
        <v>138882</v>
      </c>
      <c r="AY84" s="220">
        <f>'9. ODG.'!G103</f>
        <v>206711</v>
      </c>
      <c r="BA84" s="220">
        <f>'10.KJ'!G103</f>
        <v>1389</v>
      </c>
      <c r="BC84" s="220">
        <f>'11. OST.'!G103</f>
        <v>7841</v>
      </c>
      <c r="BE84" s="220">
        <f>'12. NZZ'!G103</f>
        <v>422246</v>
      </c>
      <c r="BG84" s="220">
        <f>'13. ukupno'!G103</f>
        <v>429684</v>
      </c>
      <c r="BH84" s="124">
        <f t="shared" si="18"/>
        <v>0</v>
      </c>
      <c r="BI84" s="124">
        <f t="shared" si="19"/>
        <v>0</v>
      </c>
      <c r="BJ84" s="124">
        <f t="shared" si="20"/>
        <v>0</v>
      </c>
      <c r="BK84" s="120">
        <f>'1. OŽ'!H103</f>
        <v>0</v>
      </c>
      <c r="BM84" s="120">
        <f>'2. ŽO osim OŽ'!H103</f>
        <v>0</v>
      </c>
      <c r="BO84" s="120">
        <f>'3. ŽO zbirno'!H103</f>
        <v>0</v>
      </c>
      <c r="BQ84" s="120">
        <f>'4. N i DZ'!H103</f>
        <v>41809</v>
      </c>
      <c r="BS84" s="120">
        <f>'5. MV'!H103</f>
        <v>0</v>
      </c>
      <c r="BU84" s="120">
        <f>'6. PO i TR'!H103</f>
        <v>0</v>
      </c>
      <c r="BW84" s="120">
        <f>'7. VAZ'!H103</f>
        <v>2526</v>
      </c>
      <c r="BY84" s="120">
        <f>'8. IMOV'!H103</f>
        <v>157615</v>
      </c>
      <c r="CA84" s="120">
        <f>'9. ODG.'!H103</f>
        <v>191742</v>
      </c>
      <c r="CC84" s="120">
        <f>'10.KJ'!H103</f>
        <v>0</v>
      </c>
      <c r="CE84" s="120">
        <f>'11. OST.'!H103</f>
        <v>10413</v>
      </c>
      <c r="CG84" s="120">
        <f>'12. NZZ'!H103</f>
        <v>0</v>
      </c>
      <c r="CI84" s="120">
        <f>'13. ukupno'!H103</f>
        <v>463492</v>
      </c>
      <c r="CJ84" s="124">
        <f t="shared" si="21"/>
        <v>59387</v>
      </c>
      <c r="CK84" s="124">
        <f t="shared" si="22"/>
        <v>463492</v>
      </c>
    </row>
    <row r="85" spans="5:89" ht="25.5">
      <c r="AE85" s="124"/>
      <c r="AG85" s="39" t="s">
        <v>69</v>
      </c>
      <c r="AH85" s="256">
        <v>1082</v>
      </c>
      <c r="AI85" s="220">
        <f>'1. OŽ'!G104</f>
        <v>0</v>
      </c>
      <c r="AK85" s="220">
        <f>'2. ŽO osim OŽ'!G104</f>
        <v>0</v>
      </c>
      <c r="AM85" s="220">
        <f>'3. ŽO zbirno'!G104</f>
        <v>0</v>
      </c>
      <c r="AO85" s="220">
        <f>'4. N i DZ'!G104</f>
        <v>57050</v>
      </c>
      <c r="AQ85" s="220">
        <f>'5. MV'!G104</f>
        <v>62577</v>
      </c>
      <c r="AS85" s="220">
        <f>'6. PO i TR'!G104</f>
        <v>14511</v>
      </c>
      <c r="AU85" s="220">
        <f>'7. VAZ'!G104</f>
        <v>2896</v>
      </c>
      <c r="AW85" s="220">
        <f>'8. IMOV'!G104</f>
        <v>284447</v>
      </c>
      <c r="AY85" s="220">
        <f>'9. ODG.'!G104</f>
        <v>410636</v>
      </c>
      <c r="BA85" s="220">
        <f>'10.KJ'!G104</f>
        <v>2930</v>
      </c>
      <c r="BC85" s="220">
        <f>'11. OST.'!G104</f>
        <v>16348</v>
      </c>
      <c r="BE85" s="220">
        <f>'12. NZZ'!G104</f>
        <v>851395</v>
      </c>
      <c r="BG85" s="220">
        <f>'13. ukupno'!G104</f>
        <v>851395</v>
      </c>
      <c r="BH85" s="124">
        <f t="shared" si="18"/>
        <v>0</v>
      </c>
      <c r="BI85" s="124">
        <f t="shared" si="19"/>
        <v>0</v>
      </c>
      <c r="BJ85" s="124">
        <f t="shared" si="20"/>
        <v>0</v>
      </c>
      <c r="BK85" s="120">
        <f>'1. OŽ'!H104</f>
        <v>0</v>
      </c>
      <c r="BM85" s="120">
        <f>'2. ŽO osim OŽ'!H104</f>
        <v>0</v>
      </c>
      <c r="BO85" s="120">
        <f>'3. ŽO zbirno'!H104</f>
        <v>0</v>
      </c>
      <c r="BQ85" s="120">
        <f>'4. N i DZ'!H104</f>
        <v>116463</v>
      </c>
      <c r="BS85" s="120">
        <f>'5. MV'!H104</f>
        <v>0</v>
      </c>
      <c r="BU85" s="120">
        <f>'6. PO i TR'!H104</f>
        <v>0</v>
      </c>
      <c r="BW85" s="120">
        <f>'7. VAZ'!H104</f>
        <v>7115</v>
      </c>
      <c r="BY85" s="120">
        <f>'8. IMOV'!H104</f>
        <v>443822</v>
      </c>
      <c r="CA85" s="120">
        <f>'9. ODG.'!H104</f>
        <v>510657</v>
      </c>
      <c r="CC85" s="120">
        <f>'10.KJ'!H104</f>
        <v>0</v>
      </c>
      <c r="CE85" s="120">
        <f>'11. OST.'!H104</f>
        <v>28568</v>
      </c>
      <c r="CG85" s="120">
        <f>'12. NZZ'!H104</f>
        <v>0</v>
      </c>
      <c r="CI85" s="120">
        <f>'13. ukupno'!H104</f>
        <v>1261301</v>
      </c>
      <c r="CJ85" s="124">
        <f t="shared" si="21"/>
        <v>154676</v>
      </c>
      <c r="CK85" s="124">
        <f t="shared" si="22"/>
        <v>1261301</v>
      </c>
    </row>
    <row r="86" spans="5:89" ht="12.75">
      <c r="AE86" s="124"/>
      <c r="AG86" s="39" t="s">
        <v>70</v>
      </c>
      <c r="AH86" s="256">
        <v>1083</v>
      </c>
      <c r="AI86" s="220">
        <f>'1. OŽ'!G105</f>
        <v>11432</v>
      </c>
      <c r="AK86" s="220">
        <f>'2. ŽO osim OŽ'!G105</f>
        <v>870</v>
      </c>
      <c r="AM86" s="220">
        <f>'3. ŽO zbirno'!G105</f>
        <v>12302</v>
      </c>
      <c r="AO86" s="220">
        <f>'4. N i DZ'!G105</f>
        <v>8575</v>
      </c>
      <c r="AQ86" s="220">
        <f>'5. MV'!G105</f>
        <v>9619</v>
      </c>
      <c r="AS86" s="220">
        <f>'6. PO i TR'!G105</f>
        <v>2126</v>
      </c>
      <c r="AU86" s="220">
        <f>'7. VAZ'!G105</f>
        <v>418</v>
      </c>
      <c r="AW86" s="220">
        <f>'8. IMOV'!G105</f>
        <v>38730</v>
      </c>
      <c r="AY86" s="220">
        <f>'9. ODG.'!G105</f>
        <v>70740</v>
      </c>
      <c r="BA86" s="220">
        <f>'10.KJ'!G105</f>
        <v>208</v>
      </c>
      <c r="BC86" s="220">
        <f>'11. OST.'!G105</f>
        <v>1917</v>
      </c>
      <c r="BE86" s="220">
        <f>'12. NZZ'!G105</f>
        <v>132333</v>
      </c>
      <c r="BG86" s="220">
        <f>'13. ukupno'!G105</f>
        <v>144635</v>
      </c>
      <c r="BH86" s="124">
        <f t="shared" si="18"/>
        <v>0</v>
      </c>
      <c r="BI86" s="124">
        <f t="shared" si="19"/>
        <v>0</v>
      </c>
      <c r="BJ86" s="124">
        <f t="shared" si="20"/>
        <v>0</v>
      </c>
      <c r="BK86" s="120">
        <f>'1. OŽ'!H105</f>
        <v>0</v>
      </c>
      <c r="BM86" s="120">
        <f>'2. ŽO osim OŽ'!H105</f>
        <v>0</v>
      </c>
      <c r="BO86" s="120">
        <f>'3. ŽO zbirno'!H105</f>
        <v>0</v>
      </c>
      <c r="BQ86" s="120">
        <f>'4. N i DZ'!H105</f>
        <v>14346</v>
      </c>
      <c r="BS86" s="120">
        <f>'5. MV'!H105</f>
        <v>0</v>
      </c>
      <c r="BU86" s="120">
        <f>'6. PO i TR'!H105</f>
        <v>0</v>
      </c>
      <c r="BW86" s="120">
        <f>'7. VAZ'!H105</f>
        <v>1170</v>
      </c>
      <c r="BY86" s="120">
        <f>'8. IMOV'!H105</f>
        <v>49932</v>
      </c>
      <c r="CA86" s="120">
        <f>'9. ODG.'!H105</f>
        <v>87438</v>
      </c>
      <c r="CC86" s="120">
        <f>'10.KJ'!H105</f>
        <v>0</v>
      </c>
      <c r="CE86" s="120">
        <f>'11. OST.'!H105</f>
        <v>2573</v>
      </c>
      <c r="CG86" s="120">
        <f>'12. NZZ'!H105</f>
        <v>0</v>
      </c>
      <c r="CI86" s="120">
        <f>'13. ukupno'!H105</f>
        <v>196721</v>
      </c>
      <c r="CJ86" s="124">
        <f t="shared" si="21"/>
        <v>41262</v>
      </c>
      <c r="CK86" s="124">
        <f t="shared" si="22"/>
        <v>196721</v>
      </c>
    </row>
    <row r="87" spans="5:89" ht="12.75">
      <c r="AE87" s="124"/>
      <c r="AG87" s="85" t="s">
        <v>71</v>
      </c>
      <c r="AH87" s="255">
        <v>1084</v>
      </c>
      <c r="AI87" s="219">
        <f>'1. OŽ'!G106</f>
        <v>3671</v>
      </c>
      <c r="AK87" s="219">
        <f>'2. ŽO osim OŽ'!G106</f>
        <v>295</v>
      </c>
      <c r="AM87" s="219">
        <f>'3. ŽO zbirno'!G106</f>
        <v>3966</v>
      </c>
      <c r="AO87" s="219">
        <f>'4. N i DZ'!G106</f>
        <v>8732</v>
      </c>
      <c r="AQ87" s="219">
        <f>'5. MV'!G106</f>
        <v>9518</v>
      </c>
      <c r="AS87" s="219">
        <f>'6. PO i TR'!G106</f>
        <v>1976</v>
      </c>
      <c r="AU87" s="219">
        <f>'7. VAZ'!G106</f>
        <v>413</v>
      </c>
      <c r="AW87" s="219">
        <f>'8. IMOV'!G106</f>
        <v>40396</v>
      </c>
      <c r="AY87" s="219">
        <f>'9. ODG.'!G106</f>
        <v>64961</v>
      </c>
      <c r="BA87" s="219">
        <f>'10.KJ'!G106</f>
        <v>443</v>
      </c>
      <c r="BC87" s="219">
        <f>'11. OST.'!G106</f>
        <v>2493</v>
      </c>
      <c r="BE87" s="219">
        <f>'12. NZZ'!G106</f>
        <v>128932</v>
      </c>
      <c r="BG87" s="219">
        <f>'13. ukupno'!G106</f>
        <v>132898</v>
      </c>
      <c r="BH87" s="124">
        <f t="shared" si="18"/>
        <v>0</v>
      </c>
      <c r="BI87" s="124">
        <f t="shared" si="19"/>
        <v>0</v>
      </c>
      <c r="BJ87" s="124">
        <f t="shared" si="20"/>
        <v>0</v>
      </c>
      <c r="BK87" s="120">
        <f>'1. OŽ'!H106</f>
        <v>0</v>
      </c>
      <c r="BM87" s="120">
        <f>'2. ŽO osim OŽ'!H106</f>
        <v>0</v>
      </c>
      <c r="BO87" s="120">
        <f>'3. ŽO zbirno'!H106</f>
        <v>0</v>
      </c>
      <c r="BQ87" s="120">
        <f>'4. N i DZ'!H106</f>
        <v>12227</v>
      </c>
      <c r="BS87" s="120">
        <f>'5. MV'!H106</f>
        <v>0</v>
      </c>
      <c r="BU87" s="120">
        <f>'6. PO i TR'!H106</f>
        <v>0</v>
      </c>
      <c r="BW87" s="120">
        <f>'7. VAZ'!H106</f>
        <v>620</v>
      </c>
      <c r="BY87" s="120">
        <f>'8. IMOV'!H106</f>
        <v>44157</v>
      </c>
      <c r="CA87" s="120">
        <f>'9. ODG.'!H106</f>
        <v>53424</v>
      </c>
      <c r="CC87" s="120">
        <f>'10.KJ'!H106</f>
        <v>0</v>
      </c>
      <c r="CE87" s="120">
        <f>'11. OST.'!H106</f>
        <v>3099</v>
      </c>
      <c r="CG87" s="120">
        <f>'12. NZZ'!H106</f>
        <v>0</v>
      </c>
      <c r="CI87" s="120">
        <f>'13. ukupno'!H106</f>
        <v>90708</v>
      </c>
      <c r="CJ87" s="124">
        <f t="shared" si="21"/>
        <v>-22819</v>
      </c>
      <c r="CK87" s="124">
        <f t="shared" si="22"/>
        <v>90708</v>
      </c>
    </row>
    <row r="88" spans="5:89" ht="12.75">
      <c r="AE88" s="124"/>
      <c r="AG88" s="85" t="s">
        <v>73</v>
      </c>
      <c r="AH88" s="255">
        <v>1085</v>
      </c>
      <c r="AI88" s="219">
        <f>'1. OŽ'!G107</f>
        <v>303</v>
      </c>
      <c r="AK88" s="219">
        <f>'2. ŽO osim OŽ'!G107</f>
        <v>0</v>
      </c>
      <c r="AM88" s="219">
        <f>'3. ŽO zbirno'!G107</f>
        <v>303</v>
      </c>
      <c r="AO88" s="219">
        <f>'4. N i DZ'!G107</f>
        <v>34</v>
      </c>
      <c r="AQ88" s="219">
        <f>'5. MV'!G107</f>
        <v>0</v>
      </c>
      <c r="AS88" s="219">
        <f>'6. PO i TR'!G107</f>
        <v>1098</v>
      </c>
      <c r="AU88" s="219">
        <f>'7. VAZ'!G107</f>
        <v>1833</v>
      </c>
      <c r="AW88" s="219">
        <f>'8. IMOV'!G107</f>
        <v>111810</v>
      </c>
      <c r="AY88" s="219">
        <f>'9. ODG.'!G107</f>
        <v>11045</v>
      </c>
      <c r="BA88" s="219">
        <f>'10.KJ'!G107</f>
        <v>3770</v>
      </c>
      <c r="BC88" s="219">
        <f>'11. OST.'!G107</f>
        <v>90</v>
      </c>
      <c r="BE88" s="219">
        <f>'12. NZZ'!G107</f>
        <v>129680</v>
      </c>
      <c r="BG88" s="219">
        <f>'13. ukupno'!G107</f>
        <v>129983</v>
      </c>
      <c r="BH88" s="124">
        <f t="shared" si="18"/>
        <v>0</v>
      </c>
      <c r="BI88" s="124">
        <f t="shared" si="19"/>
        <v>0</v>
      </c>
      <c r="BJ88" s="124">
        <f t="shared" si="20"/>
        <v>0</v>
      </c>
      <c r="BK88" s="120">
        <f>'1. OŽ'!H107</f>
        <v>0</v>
      </c>
      <c r="BM88" s="120">
        <f>'2. ŽO osim OŽ'!H107</f>
        <v>0</v>
      </c>
      <c r="BO88" s="120">
        <f>'3. ŽO zbirno'!H107</f>
        <v>0</v>
      </c>
      <c r="BQ88" s="120">
        <f>'4. N i DZ'!H107</f>
        <v>0</v>
      </c>
      <c r="BS88" s="120">
        <f>'5. MV'!H107</f>
        <v>0</v>
      </c>
      <c r="BU88" s="120">
        <f>'6. PO i TR'!H107</f>
        <v>0</v>
      </c>
      <c r="BW88" s="120">
        <f>'7. VAZ'!H107</f>
        <v>1070</v>
      </c>
      <c r="BY88" s="120">
        <f>'8. IMOV'!H107</f>
        <v>64405</v>
      </c>
      <c r="CA88" s="120">
        <f>'9. ODG.'!H107</f>
        <v>9219</v>
      </c>
      <c r="CC88" s="120">
        <f>'10.KJ'!H107</f>
        <v>0</v>
      </c>
      <c r="CE88" s="120">
        <f>'11. OST.'!H107</f>
        <v>0</v>
      </c>
      <c r="CG88" s="120">
        <f>'12. NZZ'!H107</f>
        <v>0</v>
      </c>
      <c r="CI88" s="120">
        <f>'13. ukupno'!H107</f>
        <v>81593</v>
      </c>
      <c r="CJ88" s="124">
        <f t="shared" si="21"/>
        <v>6899</v>
      </c>
      <c r="CK88" s="124">
        <f t="shared" si="22"/>
        <v>81593</v>
      </c>
    </row>
    <row r="89" spans="5:89" ht="25.5">
      <c r="AE89" s="124"/>
      <c r="AG89" s="85" t="s">
        <v>420</v>
      </c>
      <c r="AH89" s="258">
        <v>1086</v>
      </c>
      <c r="AI89" s="223">
        <f>'1. OŽ'!G108</f>
        <v>0</v>
      </c>
      <c r="AK89" s="223">
        <f>'2. ŽO osim OŽ'!G108</f>
        <v>37009</v>
      </c>
      <c r="AM89" s="223">
        <f>'3. ŽO zbirno'!G108</f>
        <v>0</v>
      </c>
      <c r="AO89" s="223">
        <f>'4. N i DZ'!G108</f>
        <v>0</v>
      </c>
      <c r="AQ89" s="223">
        <f>'5. MV'!G108</f>
        <v>0</v>
      </c>
      <c r="AS89" s="223">
        <f>'6. PO i TR'!G108</f>
        <v>110005</v>
      </c>
      <c r="AU89" s="223">
        <f>'7. VAZ'!G108</f>
        <v>2732</v>
      </c>
      <c r="AW89" s="223">
        <f>'8. IMOV'!G108</f>
        <v>0</v>
      </c>
      <c r="AY89" s="223">
        <f>'9. ODG.'!G108</f>
        <v>1464315</v>
      </c>
      <c r="BA89" s="223">
        <f>'10.KJ'!G108</f>
        <v>3003</v>
      </c>
      <c r="BC89" s="223">
        <f>'11. OST.'!G108</f>
        <v>52327</v>
      </c>
      <c r="BE89" s="223">
        <f>'12. NZZ'!G108</f>
        <v>1001429</v>
      </c>
      <c r="BG89" s="223">
        <f>'13. ukupno'!G108</f>
        <v>935338</v>
      </c>
      <c r="BH89" s="124">
        <f t="shared" si="18"/>
        <v>-37009</v>
      </c>
      <c r="BI89" s="124">
        <f t="shared" si="19"/>
        <v>-630953</v>
      </c>
      <c r="BJ89" s="124">
        <f t="shared" si="20"/>
        <v>-66091</v>
      </c>
      <c r="BK89" s="120">
        <f>'1. OŽ'!H108</f>
        <v>0</v>
      </c>
      <c r="BM89" s="120">
        <f>'2. ŽO osim OŽ'!H108</f>
        <v>0</v>
      </c>
      <c r="BO89" s="120">
        <f>'3. ŽO zbirno'!H108</f>
        <v>0</v>
      </c>
      <c r="BQ89" s="120">
        <f>'4. N i DZ'!H108</f>
        <v>0</v>
      </c>
      <c r="BS89" s="120">
        <f>'5. MV'!H108</f>
        <v>0</v>
      </c>
      <c r="BU89" s="120">
        <f>'6. PO i TR'!H108</f>
        <v>0</v>
      </c>
      <c r="BW89" s="120">
        <f>'7. VAZ'!H108</f>
        <v>0</v>
      </c>
      <c r="BY89" s="120">
        <f>'8. IMOV'!H108</f>
        <v>0</v>
      </c>
      <c r="CA89" s="120">
        <f>'9. ODG.'!H108</f>
        <v>0</v>
      </c>
      <c r="CC89" s="120">
        <f>'10.KJ'!H108</f>
        <v>0</v>
      </c>
      <c r="CE89" s="120">
        <f>'11. OST.'!H108</f>
        <v>0</v>
      </c>
      <c r="CG89" s="120">
        <f>'12. NZZ'!H108</f>
        <v>0</v>
      </c>
      <c r="CI89" s="120">
        <f>'13. ukupno'!H108</f>
        <v>0</v>
      </c>
      <c r="CJ89" s="124">
        <f t="shared" si="21"/>
        <v>0</v>
      </c>
      <c r="CK89" s="124">
        <f t="shared" si="22"/>
        <v>0</v>
      </c>
    </row>
    <row r="90" spans="5:89" ht="25.5">
      <c r="AE90" s="124"/>
      <c r="AG90" s="85" t="s">
        <v>421</v>
      </c>
      <c r="AH90" s="258">
        <v>1087</v>
      </c>
      <c r="AI90" s="223">
        <f>'1. OŽ'!G109</f>
        <v>103100</v>
      </c>
      <c r="AK90" s="223">
        <f>'2. ŽO osim OŽ'!G109</f>
        <v>0</v>
      </c>
      <c r="AM90" s="223">
        <f>'3. ŽO zbirno'!G109</f>
        <v>66091</v>
      </c>
      <c r="AO90" s="223">
        <f>'4. N i DZ'!G109</f>
        <v>155597</v>
      </c>
      <c r="AQ90" s="223">
        <f>'5. MV'!G109</f>
        <v>338943</v>
      </c>
      <c r="AS90" s="223">
        <f>'6. PO i TR'!G109</f>
        <v>0</v>
      </c>
      <c r="AU90" s="223">
        <f>'7. VAZ'!G109</f>
        <v>0</v>
      </c>
      <c r="AW90" s="223">
        <f>'8. IMOV'!G109</f>
        <v>136413</v>
      </c>
      <c r="AY90" s="223">
        <f>'9. ODG.'!G109</f>
        <v>0</v>
      </c>
      <c r="BA90" s="223">
        <f>'10.KJ'!G109</f>
        <v>0</v>
      </c>
      <c r="BC90" s="223">
        <f>'11. OST.'!G109</f>
        <v>0</v>
      </c>
      <c r="BE90" s="223">
        <f>'12. NZZ'!G109</f>
        <v>0</v>
      </c>
      <c r="BG90" s="223">
        <f>'13. ukupno'!G109</f>
        <v>0</v>
      </c>
      <c r="BH90" s="124">
        <f t="shared" si="18"/>
        <v>-37009</v>
      </c>
      <c r="BI90" s="124">
        <f t="shared" si="19"/>
        <v>-630953</v>
      </c>
      <c r="BJ90" s="124">
        <f t="shared" si="20"/>
        <v>-66091</v>
      </c>
      <c r="BK90" s="120">
        <f>'1. OŽ'!H109</f>
        <v>0</v>
      </c>
      <c r="BM90" s="120">
        <f>'2. ŽO osim OŽ'!H109</f>
        <v>0</v>
      </c>
      <c r="BO90" s="120">
        <f>'3. ŽO zbirno'!H109</f>
        <v>0</v>
      </c>
      <c r="BQ90" s="120">
        <f>'4. N i DZ'!H109</f>
        <v>235178</v>
      </c>
      <c r="BS90" s="120">
        <f>'5. MV'!H109</f>
        <v>0</v>
      </c>
      <c r="BU90" s="120">
        <f>'6. PO i TR'!H109</f>
        <v>0</v>
      </c>
      <c r="BW90" s="120">
        <f>'7. VAZ'!H109</f>
        <v>16988</v>
      </c>
      <c r="BY90" s="120">
        <f>'8. IMOV'!H109</f>
        <v>478468</v>
      </c>
      <c r="CA90" s="120">
        <f>'9. ODG.'!H109</f>
        <v>210747</v>
      </c>
      <c r="CC90" s="120">
        <f>'10.KJ'!H109</f>
        <v>0</v>
      </c>
      <c r="CE90" s="120">
        <f>'11. OST.'!H109</f>
        <v>8865</v>
      </c>
      <c r="CG90" s="120">
        <f>'12. NZZ'!H109</f>
        <v>0</v>
      </c>
      <c r="CI90" s="120">
        <f>'13. ukupno'!H109</f>
        <v>1278862</v>
      </c>
      <c r="CJ90" s="124">
        <f t="shared" si="21"/>
        <v>328616</v>
      </c>
      <c r="CK90" s="124">
        <f t="shared" si="22"/>
        <v>1278862</v>
      </c>
    </row>
    <row r="91" spans="5:89" ht="25.5">
      <c r="AE91" s="124"/>
      <c r="AG91" s="85" t="s">
        <v>250</v>
      </c>
      <c r="AH91" s="255">
        <v>1088</v>
      </c>
      <c r="AI91" s="219">
        <f>'1. OŽ'!G110</f>
        <v>31787</v>
      </c>
      <c r="AK91" s="219">
        <f>'2. ŽO osim OŽ'!G110</f>
        <v>2517</v>
      </c>
      <c r="AM91" s="219">
        <f>'3. ŽO zbirno'!G110</f>
        <v>34304</v>
      </c>
      <c r="AO91" s="219">
        <f>'4. N i DZ'!G110</f>
        <v>14578</v>
      </c>
      <c r="AQ91" s="219">
        <f>'5. MV'!G110</f>
        <v>13834</v>
      </c>
      <c r="AS91" s="219">
        <f>'6. PO i TR'!G110</f>
        <v>6422</v>
      </c>
      <c r="AU91" s="219">
        <f>'7. VAZ'!G110</f>
        <v>5043</v>
      </c>
      <c r="AW91" s="219">
        <f>'8. IMOV'!G110</f>
        <v>110443</v>
      </c>
      <c r="AY91" s="219">
        <f>'9. ODG.'!G110</f>
        <v>105981</v>
      </c>
      <c r="BA91" s="219">
        <f>'10.KJ'!G110</f>
        <v>112</v>
      </c>
      <c r="BC91" s="219">
        <f>'11. OST.'!G110</f>
        <v>163</v>
      </c>
      <c r="BE91" s="219">
        <f>'12. NZZ'!G110</f>
        <v>256576</v>
      </c>
      <c r="BG91" s="219">
        <f>'13. ukupno'!G110</f>
        <v>290880</v>
      </c>
      <c r="BH91" s="124">
        <f t="shared" si="18"/>
        <v>0</v>
      </c>
      <c r="BI91" s="124">
        <f t="shared" si="19"/>
        <v>0</v>
      </c>
      <c r="BJ91" s="124">
        <f t="shared" si="20"/>
        <v>0</v>
      </c>
      <c r="BK91" s="120">
        <f>'1. OŽ'!H110</f>
        <v>0</v>
      </c>
      <c r="BM91" s="120">
        <f>'2. ŽO osim OŽ'!H110</f>
        <v>0</v>
      </c>
      <c r="BO91" s="120">
        <f>'3. ŽO zbirno'!H110</f>
        <v>0</v>
      </c>
      <c r="BQ91" s="120">
        <f>'4. N i DZ'!H110</f>
        <v>26976</v>
      </c>
      <c r="BS91" s="120">
        <f>'5. MV'!H110</f>
        <v>0</v>
      </c>
      <c r="BU91" s="120">
        <f>'6. PO i TR'!H110</f>
        <v>0</v>
      </c>
      <c r="BW91" s="120">
        <f>'7. VAZ'!H110</f>
        <v>2590</v>
      </c>
      <c r="BY91" s="120">
        <f>'8. IMOV'!H110</f>
        <v>141748</v>
      </c>
      <c r="CA91" s="120">
        <f>'9. ODG.'!H110</f>
        <v>150008</v>
      </c>
      <c r="CC91" s="120">
        <f>'10.KJ'!H110</f>
        <v>0</v>
      </c>
      <c r="CE91" s="120">
        <f>'11. OST.'!H110</f>
        <v>6901</v>
      </c>
      <c r="CG91" s="120">
        <f>'12. NZZ'!H110</f>
        <v>0</v>
      </c>
      <c r="CI91" s="120">
        <f>'13. ukupno'!H110</f>
        <v>335541</v>
      </c>
      <c r="CJ91" s="124">
        <f t="shared" si="21"/>
        <v>7318</v>
      </c>
      <c r="CK91" s="124">
        <f t="shared" si="22"/>
        <v>335541</v>
      </c>
    </row>
    <row r="92" spans="5:89" ht="25.5">
      <c r="AE92" s="124"/>
      <c r="AG92" s="85" t="s">
        <v>252</v>
      </c>
      <c r="AH92" s="255">
        <v>1089</v>
      </c>
      <c r="AI92" s="219">
        <f>'1. OŽ'!G111</f>
        <v>11856</v>
      </c>
      <c r="AK92" s="219">
        <f>'2. ŽO osim OŽ'!G111</f>
        <v>928</v>
      </c>
      <c r="AM92" s="219">
        <f>'3. ŽO zbirno'!G111</f>
        <v>12784</v>
      </c>
      <c r="AO92" s="219">
        <f>'4. N i DZ'!G111</f>
        <v>3612</v>
      </c>
      <c r="AQ92" s="219">
        <f>'5. MV'!G111</f>
        <v>3872</v>
      </c>
      <c r="AS92" s="219">
        <f>'6. PO i TR'!G111</f>
        <v>2150</v>
      </c>
      <c r="AU92" s="219">
        <f>'7. VAZ'!G111</f>
        <v>840</v>
      </c>
      <c r="AW92" s="219">
        <f>'8. IMOV'!G111</f>
        <v>20151</v>
      </c>
      <c r="AY92" s="219">
        <f>'9. ODG.'!G111</f>
        <v>31760</v>
      </c>
      <c r="BA92" s="219">
        <f>'10.KJ'!G111</f>
        <v>1698</v>
      </c>
      <c r="BC92" s="219">
        <f>'11. OST.'!G111</f>
        <v>1212</v>
      </c>
      <c r="BE92" s="219">
        <f>'12. NZZ'!G111</f>
        <v>65295</v>
      </c>
      <c r="BG92" s="219">
        <f>'13. ukupno'!G111</f>
        <v>78079</v>
      </c>
      <c r="BH92" s="124">
        <f t="shared" si="18"/>
        <v>0</v>
      </c>
      <c r="BI92" s="124">
        <f t="shared" si="19"/>
        <v>0</v>
      </c>
      <c r="BJ92" s="124">
        <f t="shared" si="20"/>
        <v>0</v>
      </c>
      <c r="BK92" s="120">
        <f>'1. OŽ'!H111</f>
        <v>0</v>
      </c>
      <c r="BM92" s="120">
        <f>'2. ŽO osim OŽ'!H111</f>
        <v>0</v>
      </c>
      <c r="BO92" s="120">
        <f>'3. ŽO zbirno'!H111</f>
        <v>0</v>
      </c>
      <c r="BQ92" s="120">
        <f>'4. N i DZ'!H111</f>
        <v>4176</v>
      </c>
      <c r="BS92" s="120">
        <f>'5. MV'!H111</f>
        <v>0</v>
      </c>
      <c r="BU92" s="120">
        <f>'6. PO i TR'!H111</f>
        <v>0</v>
      </c>
      <c r="BW92" s="120">
        <f>'7. VAZ'!H111</f>
        <v>3228</v>
      </c>
      <c r="BY92" s="120">
        <f>'8. IMOV'!H111</f>
        <v>25334</v>
      </c>
      <c r="CA92" s="120">
        <f>'9. ODG.'!H111</f>
        <v>26857</v>
      </c>
      <c r="CC92" s="120">
        <f>'10.KJ'!H111</f>
        <v>0</v>
      </c>
      <c r="CE92" s="120">
        <f>'11. OST.'!H111</f>
        <v>848</v>
      </c>
      <c r="CG92" s="120">
        <f>'12. NZZ'!H111</f>
        <v>0</v>
      </c>
      <c r="CI92" s="120">
        <f>'13. ukupno'!H111</f>
        <v>54918</v>
      </c>
      <c r="CJ92" s="124">
        <f t="shared" si="21"/>
        <v>-5525</v>
      </c>
      <c r="CK92" s="124">
        <f t="shared" si="22"/>
        <v>54918</v>
      </c>
    </row>
    <row r="93" spans="5:89" ht="38.25">
      <c r="AE93" s="124"/>
      <c r="AG93" s="85" t="s">
        <v>255</v>
      </c>
      <c r="AH93" s="255">
        <v>1090</v>
      </c>
      <c r="AI93" s="219">
        <f>'1. OŽ'!G112</f>
        <v>2123</v>
      </c>
      <c r="AK93" s="219">
        <f>'2. ŽO osim OŽ'!G112</f>
        <v>151</v>
      </c>
      <c r="AM93" s="219">
        <f>'3. ŽO zbirno'!G112</f>
        <v>2274</v>
      </c>
      <c r="AO93" s="219">
        <f>'4. N i DZ'!G112</f>
        <v>82439</v>
      </c>
      <c r="AQ93" s="219">
        <f>'5. MV'!G112</f>
        <v>62072</v>
      </c>
      <c r="AS93" s="219">
        <f>'6. PO i TR'!G112</f>
        <v>21929</v>
      </c>
      <c r="AU93" s="219">
        <f>'7. VAZ'!G112</f>
        <v>14779</v>
      </c>
      <c r="AW93" s="219">
        <f>'8. IMOV'!G112</f>
        <v>520418</v>
      </c>
      <c r="AY93" s="219">
        <f>'9. ODG.'!G112</f>
        <v>169711</v>
      </c>
      <c r="BA93" s="219">
        <f>'10.KJ'!G112</f>
        <v>843</v>
      </c>
      <c r="BC93" s="219">
        <f>'11. OST.'!G112</f>
        <v>4883</v>
      </c>
      <c r="BE93" s="219">
        <f>'12. NZZ'!G112</f>
        <v>877074</v>
      </c>
      <c r="BG93" s="219">
        <f>'13. ukupno'!G112</f>
        <v>879348</v>
      </c>
      <c r="BH93" s="124">
        <f t="shared" si="18"/>
        <v>0</v>
      </c>
      <c r="BI93" s="124">
        <f t="shared" si="19"/>
        <v>0</v>
      </c>
      <c r="BJ93" s="124">
        <f t="shared" si="20"/>
        <v>0</v>
      </c>
      <c r="BK93" s="120">
        <f>'1. OŽ'!H112</f>
        <v>0</v>
      </c>
      <c r="BM93" s="120">
        <f>'2. ŽO osim OŽ'!H112</f>
        <v>0</v>
      </c>
      <c r="BO93" s="120">
        <f>'3. ŽO zbirno'!H112</f>
        <v>0</v>
      </c>
      <c r="BQ93" s="120">
        <f>'4. N i DZ'!H112</f>
        <v>84991</v>
      </c>
      <c r="BS93" s="120">
        <f>'5. MV'!H112</f>
        <v>0</v>
      </c>
      <c r="BU93" s="120">
        <f>'6. PO i TR'!H112</f>
        <v>0</v>
      </c>
      <c r="BW93" s="120">
        <f>'7. VAZ'!H112</f>
        <v>1885</v>
      </c>
      <c r="BY93" s="120">
        <f>'8. IMOV'!H112</f>
        <v>553022</v>
      </c>
      <c r="CA93" s="120">
        <f>'9. ODG.'!H112</f>
        <v>178878</v>
      </c>
      <c r="CC93" s="120">
        <f>'10.KJ'!H112</f>
        <v>0</v>
      </c>
      <c r="CE93" s="120">
        <f>'11. OST.'!H112</f>
        <v>7466</v>
      </c>
      <c r="CG93" s="120">
        <f>'12. NZZ'!H112</f>
        <v>0</v>
      </c>
      <c r="CI93" s="120">
        <f>'13. ukupno'!H112</f>
        <v>1025194</v>
      </c>
      <c r="CJ93" s="124">
        <f t="shared" si="21"/>
        <v>198952</v>
      </c>
      <c r="CK93" s="124">
        <f t="shared" si="22"/>
        <v>1025194</v>
      </c>
    </row>
    <row r="94" spans="5:89" ht="38.25">
      <c r="AE94" s="124"/>
      <c r="AG94" s="85" t="s">
        <v>258</v>
      </c>
      <c r="AH94" s="255">
        <v>1091</v>
      </c>
      <c r="AI94" s="219">
        <f>'1. OŽ'!G113</f>
        <v>147166</v>
      </c>
      <c r="AK94" s="219">
        <f>'2. ŽO osim OŽ'!G113</f>
        <v>4391</v>
      </c>
      <c r="AM94" s="219">
        <f>'3. ŽO zbirno'!G113</f>
        <v>151557</v>
      </c>
      <c r="AO94" s="219">
        <f>'4. N i DZ'!G113</f>
        <v>109525</v>
      </c>
      <c r="AQ94" s="219">
        <f>'5. MV'!G113</f>
        <v>128154</v>
      </c>
      <c r="AS94" s="219">
        <f>'6. PO i TR'!G113</f>
        <v>44074</v>
      </c>
      <c r="AU94" s="219">
        <f>'7. VAZ'!G113</f>
        <v>2952</v>
      </c>
      <c r="AW94" s="219">
        <f>'8. IMOV'!G113</f>
        <v>508423</v>
      </c>
      <c r="AY94" s="219">
        <f>'9. ODG.'!G113</f>
        <v>565736</v>
      </c>
      <c r="BA94" s="219">
        <f>'10.KJ'!G113</f>
        <v>2696</v>
      </c>
      <c r="BC94" s="219">
        <f>'11. OST.'!G113</f>
        <v>13744</v>
      </c>
      <c r="BE94" s="219">
        <f>'12. NZZ'!G113</f>
        <v>1375304</v>
      </c>
      <c r="BG94" s="219">
        <f>'13. ukupno'!G113</f>
        <v>1526861</v>
      </c>
      <c r="BH94" s="124">
        <f t="shared" si="18"/>
        <v>0</v>
      </c>
      <c r="BI94" s="124">
        <f t="shared" si="19"/>
        <v>0</v>
      </c>
      <c r="BJ94" s="124">
        <f t="shared" si="20"/>
        <v>0</v>
      </c>
      <c r="BK94" s="120">
        <f>'1. OŽ'!H113</f>
        <v>0</v>
      </c>
      <c r="BM94" s="120">
        <f>'2. ŽO osim OŽ'!H113</f>
        <v>0</v>
      </c>
      <c r="BO94" s="120">
        <f>'3. ŽO zbirno'!H113</f>
        <v>0</v>
      </c>
      <c r="BQ94" s="120">
        <f>'4. N i DZ'!H113</f>
        <v>96078</v>
      </c>
      <c r="BS94" s="120">
        <f>'5. MV'!H113</f>
        <v>0</v>
      </c>
      <c r="BU94" s="120">
        <f>'6. PO i TR'!H113</f>
        <v>0</v>
      </c>
      <c r="BW94" s="120">
        <f>'7. VAZ'!H113</f>
        <v>23805</v>
      </c>
      <c r="BY94" s="120">
        <f>'8. IMOV'!H113</f>
        <v>573344</v>
      </c>
      <c r="CA94" s="120">
        <f>'9. ODG.'!H113</f>
        <v>377080</v>
      </c>
      <c r="CC94" s="120">
        <f>'10.KJ'!H113</f>
        <v>0</v>
      </c>
      <c r="CE94" s="120">
        <f>'11. OST.'!H113</f>
        <v>20214</v>
      </c>
      <c r="CG94" s="120">
        <f>'12. NZZ'!H113</f>
        <v>0</v>
      </c>
      <c r="CI94" s="120">
        <f>'13. ukupno'!H113</f>
        <v>1475224</v>
      </c>
      <c r="CJ94" s="124">
        <f t="shared" si="21"/>
        <v>384703</v>
      </c>
      <c r="CK94" s="124">
        <f t="shared" si="22"/>
        <v>1475224</v>
      </c>
    </row>
    <row r="95" spans="5:89" ht="12.75">
      <c r="AE95" s="124"/>
      <c r="AG95" s="85" t="s">
        <v>260</v>
      </c>
      <c r="AH95" s="255">
        <v>1092</v>
      </c>
      <c r="AI95" s="219">
        <f>'1. OŽ'!G114</f>
        <v>1735</v>
      </c>
      <c r="AK95" s="219">
        <f>'2. ŽO osim OŽ'!G114</f>
        <v>140</v>
      </c>
      <c r="AM95" s="219">
        <f>'3. ŽO zbirno'!G114</f>
        <v>1875</v>
      </c>
      <c r="AO95" s="219">
        <f>'4. N i DZ'!G114</f>
        <v>5890</v>
      </c>
      <c r="AQ95" s="219">
        <f>'5. MV'!G114</f>
        <v>8110</v>
      </c>
      <c r="AS95" s="219">
        <f>'6. PO i TR'!G114</f>
        <v>1304</v>
      </c>
      <c r="AU95" s="219">
        <f>'7. VAZ'!G114</f>
        <v>270</v>
      </c>
      <c r="AW95" s="219">
        <f>'8. IMOV'!G114</f>
        <v>48427</v>
      </c>
      <c r="AY95" s="219">
        <f>'9. ODG.'!G114</f>
        <v>45594</v>
      </c>
      <c r="BA95" s="219">
        <f>'10.KJ'!G114</f>
        <v>1059</v>
      </c>
      <c r="BC95" s="219">
        <f>'11. OST.'!G114</f>
        <v>1854</v>
      </c>
      <c r="BE95" s="219">
        <f>'12. NZZ'!G114</f>
        <v>112508</v>
      </c>
      <c r="BG95" s="219">
        <f>'13. ukupno'!G114</f>
        <v>114383</v>
      </c>
      <c r="BH95" s="124">
        <f t="shared" si="18"/>
        <v>0</v>
      </c>
      <c r="BI95" s="124">
        <f t="shared" si="19"/>
        <v>0</v>
      </c>
      <c r="BJ95" s="124">
        <f t="shared" si="20"/>
        <v>0</v>
      </c>
      <c r="BK95" s="120">
        <f>'1. OŽ'!H114</f>
        <v>0</v>
      </c>
      <c r="BM95" s="120">
        <f>'2. ŽO osim OŽ'!H114</f>
        <v>0</v>
      </c>
      <c r="BO95" s="120">
        <f>'3. ŽO zbirno'!H114</f>
        <v>0</v>
      </c>
      <c r="BQ95" s="120">
        <f>'4. N i DZ'!H114</f>
        <v>7673</v>
      </c>
      <c r="BS95" s="120">
        <f>'5. MV'!H114</f>
        <v>0</v>
      </c>
      <c r="BU95" s="120">
        <f>'6. PO i TR'!H114</f>
        <v>0</v>
      </c>
      <c r="BW95" s="120">
        <f>'7. VAZ'!H114</f>
        <v>530</v>
      </c>
      <c r="BY95" s="120">
        <f>'8. IMOV'!H114</f>
        <v>35001</v>
      </c>
      <c r="CA95" s="120">
        <f>'9. ODG.'!H114</f>
        <v>38053</v>
      </c>
      <c r="CC95" s="120">
        <f>'10.KJ'!H114</f>
        <v>0</v>
      </c>
      <c r="CE95" s="120">
        <f>'11. OST.'!H114</f>
        <v>1583</v>
      </c>
      <c r="CG95" s="120">
        <f>'12. NZZ'!H114</f>
        <v>0</v>
      </c>
      <c r="CI95" s="120">
        <f>'13. ukupno'!H114</f>
        <v>100916</v>
      </c>
      <c r="CJ95" s="124">
        <f t="shared" si="21"/>
        <v>18076</v>
      </c>
      <c r="CK95" s="124">
        <f t="shared" si="22"/>
        <v>100916</v>
      </c>
    </row>
    <row r="96" spans="5:89" ht="12.75">
      <c r="AE96" s="124"/>
      <c r="AG96" s="85" t="s">
        <v>261</v>
      </c>
      <c r="AH96" s="255">
        <v>1093</v>
      </c>
      <c r="AI96" s="219">
        <f>'1. OŽ'!G115</f>
        <v>797</v>
      </c>
      <c r="AK96" s="219">
        <f>'2. ŽO osim OŽ'!G115</f>
        <v>47</v>
      </c>
      <c r="AM96" s="219">
        <f>'3. ŽO zbirno'!G115</f>
        <v>844</v>
      </c>
      <c r="AO96" s="219">
        <f>'4. N i DZ'!G115</f>
        <v>17920</v>
      </c>
      <c r="AQ96" s="219">
        <f>'5. MV'!G115</f>
        <v>20373</v>
      </c>
      <c r="AS96" s="219">
        <f>'6. PO i TR'!G115</f>
        <v>5025</v>
      </c>
      <c r="AU96" s="219">
        <f>'7. VAZ'!G115</f>
        <v>1037</v>
      </c>
      <c r="AW96" s="219">
        <f>'8. IMOV'!G115</f>
        <v>85996</v>
      </c>
      <c r="AY96" s="219">
        <f>'9. ODG.'!G115</f>
        <v>146747</v>
      </c>
      <c r="BA96" s="219">
        <f>'10.KJ'!G115</f>
        <v>385</v>
      </c>
      <c r="BC96" s="219">
        <f>'11. OST.'!G115</f>
        <v>3830</v>
      </c>
      <c r="BE96" s="219">
        <f>'12. NZZ'!G115</f>
        <v>281313</v>
      </c>
      <c r="BG96" s="219">
        <f>'13. ukupno'!G115</f>
        <v>282157</v>
      </c>
      <c r="BH96" s="124">
        <f t="shared" si="18"/>
        <v>0</v>
      </c>
      <c r="BI96" s="124">
        <f t="shared" si="19"/>
        <v>0</v>
      </c>
      <c r="BJ96" s="124">
        <f t="shared" si="20"/>
        <v>0</v>
      </c>
      <c r="BK96" s="120">
        <f>'1. OŽ'!H115</f>
        <v>0</v>
      </c>
      <c r="BM96" s="120">
        <f>'2. ŽO osim OŽ'!H115</f>
        <v>0</v>
      </c>
      <c r="BO96" s="120">
        <f>'3. ŽO zbirno'!H115</f>
        <v>0</v>
      </c>
      <c r="BQ96" s="120">
        <f>'4. N i DZ'!H115</f>
        <v>4017</v>
      </c>
      <c r="BS96" s="120">
        <f>'5. MV'!H115</f>
        <v>0</v>
      </c>
      <c r="BU96" s="120">
        <f>'6. PO i TR'!H115</f>
        <v>0</v>
      </c>
      <c r="BW96" s="120">
        <f>'7. VAZ'!H115</f>
        <v>231</v>
      </c>
      <c r="BY96" s="120">
        <f>'8. IMOV'!H115</f>
        <v>14465</v>
      </c>
      <c r="CA96" s="120">
        <f>'9. ODG.'!H115</f>
        <v>13186</v>
      </c>
      <c r="CC96" s="120">
        <f>'10.KJ'!H115</f>
        <v>0</v>
      </c>
      <c r="CE96" s="120">
        <f>'11. OST.'!H115</f>
        <v>989</v>
      </c>
      <c r="CG96" s="120">
        <f>'12. NZZ'!H115</f>
        <v>0</v>
      </c>
      <c r="CI96" s="120">
        <f>'13. ukupno'!H115</f>
        <v>34644</v>
      </c>
      <c r="CJ96" s="124">
        <f t="shared" si="21"/>
        <v>1756</v>
      </c>
      <c r="CK96" s="124">
        <f t="shared" si="22"/>
        <v>34644</v>
      </c>
    </row>
    <row r="97" spans="31:89" ht="38.25">
      <c r="AE97" s="124"/>
      <c r="AG97" s="85" t="s">
        <v>422</v>
      </c>
      <c r="AH97" s="258">
        <v>1094</v>
      </c>
      <c r="AI97" s="223">
        <f>'1. OŽ'!G116</f>
        <v>0</v>
      </c>
      <c r="AK97" s="223">
        <f>'2. ŽO osim OŽ'!G116</f>
        <v>34451</v>
      </c>
      <c r="AM97" s="223">
        <f>'3. ŽO zbirno'!G116</f>
        <v>0</v>
      </c>
      <c r="AO97" s="223">
        <f>'4. N i DZ'!G116</f>
        <v>0</v>
      </c>
      <c r="AQ97" s="223">
        <f>'5. MV'!G116</f>
        <v>0</v>
      </c>
      <c r="AS97" s="223">
        <f>'6. PO i TR'!G116</f>
        <v>88411</v>
      </c>
      <c r="AU97" s="223">
        <f>'7. VAZ'!G116</f>
        <v>17995</v>
      </c>
      <c r="AW97" s="223">
        <f>'8. IMOV'!G116</f>
        <v>0</v>
      </c>
      <c r="AY97" s="223">
        <f>'9. ODG.'!G116</f>
        <v>1041358</v>
      </c>
      <c r="BA97" s="223">
        <f>'10.KJ'!G116</f>
        <v>238</v>
      </c>
      <c r="BC97" s="223">
        <f>'11. OST.'!G116</f>
        <v>40441</v>
      </c>
      <c r="BE97" s="223">
        <f>'12. NZZ'!G116</f>
        <v>525675</v>
      </c>
      <c r="BG97" s="223">
        <f>'13. ukupno'!G116</f>
        <v>332852</v>
      </c>
      <c r="BH97" s="124">
        <f t="shared" si="18"/>
        <v>-34451</v>
      </c>
      <c r="BI97" s="124">
        <f t="shared" si="19"/>
        <v>-662768</v>
      </c>
      <c r="BJ97" s="124">
        <f t="shared" si="20"/>
        <v>-192823</v>
      </c>
      <c r="BK97" s="120">
        <f>'1. OŽ'!H116</f>
        <v>0</v>
      </c>
      <c r="BM97" s="120">
        <f>'2. ŽO osim OŽ'!H116</f>
        <v>0</v>
      </c>
      <c r="BO97" s="120">
        <f>'3. ŽO zbirno'!H116</f>
        <v>0</v>
      </c>
      <c r="BQ97" s="120">
        <f>'4. N i DZ'!H116</f>
        <v>0</v>
      </c>
      <c r="BS97" s="120">
        <f>'5. MV'!H116</f>
        <v>0</v>
      </c>
      <c r="BU97" s="120">
        <f>'6. PO i TR'!H116</f>
        <v>0</v>
      </c>
      <c r="BW97" s="120">
        <f>'7. VAZ'!H116</f>
        <v>0</v>
      </c>
      <c r="BY97" s="120">
        <f>'8. IMOV'!H116</f>
        <v>0</v>
      </c>
      <c r="CA97" s="120">
        <f>'9. ODG.'!H116</f>
        <v>0</v>
      </c>
      <c r="CC97" s="120">
        <f>'10.KJ'!H116</f>
        <v>0</v>
      </c>
      <c r="CE97" s="120">
        <f>'11. OST.'!H116</f>
        <v>0</v>
      </c>
      <c r="CG97" s="120">
        <f>'12. NZZ'!H116</f>
        <v>0</v>
      </c>
      <c r="CI97" s="120">
        <f>'13. ukupno'!H116</f>
        <v>0</v>
      </c>
      <c r="CJ97" s="124">
        <f t="shared" si="21"/>
        <v>0</v>
      </c>
      <c r="CK97" s="124">
        <f t="shared" si="22"/>
        <v>0</v>
      </c>
    </row>
    <row r="98" spans="31:89" ht="38.25">
      <c r="AE98" s="124"/>
      <c r="AG98" s="85" t="s">
        <v>423</v>
      </c>
      <c r="AH98" s="254">
        <v>1095</v>
      </c>
      <c r="AI98" s="218">
        <f>'1. OŽ'!G117</f>
        <v>227274</v>
      </c>
      <c r="AK98" s="218">
        <f>'2. ŽO osim OŽ'!G117</f>
        <v>0</v>
      </c>
      <c r="AM98" s="218">
        <f>'3. ŽO zbirno'!G117</f>
        <v>192823</v>
      </c>
      <c r="AO98" s="218">
        <f>'4. N i DZ'!G117</f>
        <v>183747</v>
      </c>
      <c r="AQ98" s="218">
        <f>'5. MV'!G117</f>
        <v>407326</v>
      </c>
      <c r="AS98" s="218">
        <f>'6. PO i TR'!G117</f>
        <v>0</v>
      </c>
      <c r="AU98" s="218">
        <f>'7. VAZ'!G117</f>
        <v>0</v>
      </c>
      <c r="AW98" s="218">
        <f>'8. IMOV'!G117</f>
        <v>71695</v>
      </c>
      <c r="AY98" s="218">
        <f>'9. ODG.'!G117</f>
        <v>0</v>
      </c>
      <c r="BA98" s="218">
        <f>'10.KJ'!G117</f>
        <v>0</v>
      </c>
      <c r="BC98" s="218">
        <f>'11. OST.'!G117</f>
        <v>0</v>
      </c>
      <c r="BE98" s="218">
        <f>'12. NZZ'!G117</f>
        <v>0</v>
      </c>
      <c r="BG98" s="218">
        <f>'13. ukupno'!G117</f>
        <v>0</v>
      </c>
      <c r="BH98" s="124">
        <f t="shared" si="18"/>
        <v>-34451</v>
      </c>
      <c r="BI98" s="124">
        <f t="shared" si="19"/>
        <v>-662768</v>
      </c>
      <c r="BJ98" s="124">
        <f t="shared" si="20"/>
        <v>-192823</v>
      </c>
      <c r="BK98" s="120">
        <f>'1. OŽ'!H117</f>
        <v>0</v>
      </c>
      <c r="BM98" s="120">
        <f>'2. ŽO osim OŽ'!H117</f>
        <v>0</v>
      </c>
      <c r="BO98" s="120">
        <f>'3. ŽO zbirno'!H117</f>
        <v>0</v>
      </c>
      <c r="BQ98" s="120">
        <f>'4. N i DZ'!H117</f>
        <v>219809</v>
      </c>
      <c r="BS98" s="120">
        <f>'5. MV'!H117</f>
        <v>0</v>
      </c>
      <c r="BU98" s="120">
        <f>'6. PO i TR'!H117</f>
        <v>0</v>
      </c>
      <c r="BW98" s="120">
        <f>'7. VAZ'!H117</f>
        <v>39247</v>
      </c>
      <c r="BY98" s="120">
        <f>'8. IMOV'!H117</f>
        <v>361840</v>
      </c>
      <c r="CA98" s="120">
        <f>'9. ODG.'!H117</f>
        <v>260931</v>
      </c>
      <c r="CC98" s="120">
        <f>'10.KJ'!H117</f>
        <v>0</v>
      </c>
      <c r="CE98" s="120">
        <f>'11. OST.'!H117</f>
        <v>14966</v>
      </c>
      <c r="CG98" s="120">
        <f>'12. NZZ'!H117</f>
        <v>0</v>
      </c>
      <c r="CI98" s="120">
        <f>'13. ukupno'!H117</f>
        <v>1381997</v>
      </c>
      <c r="CJ98" s="124">
        <f t="shared" si="21"/>
        <v>485204</v>
      </c>
      <c r="CK98" s="124">
        <f t="shared" si="22"/>
        <v>1381997</v>
      </c>
    </row>
    <row r="99" spans="31:89" ht="51">
      <c r="AE99" s="124"/>
      <c r="AG99" s="85" t="s">
        <v>266</v>
      </c>
      <c r="AH99" s="255">
        <v>1096</v>
      </c>
      <c r="AI99" s="219">
        <f>'1. OŽ'!G118</f>
        <v>0</v>
      </c>
      <c r="AK99" s="219">
        <f>'2. ŽO osim OŽ'!G118</f>
        <v>5</v>
      </c>
      <c r="AM99" s="219">
        <f>'3. ŽO zbirno'!G118</f>
        <v>0</v>
      </c>
      <c r="AO99" s="219">
        <f>'4. N i DZ'!G118</f>
        <v>0</v>
      </c>
      <c r="AQ99" s="219">
        <f>'5. MV'!G118</f>
        <v>0</v>
      </c>
      <c r="AS99" s="219">
        <f>'6. PO i TR'!G118</f>
        <v>0</v>
      </c>
      <c r="AU99" s="219">
        <f>'7. VAZ'!G118</f>
        <v>0</v>
      </c>
      <c r="AW99" s="219">
        <f>'8. IMOV'!G118</f>
        <v>0</v>
      </c>
      <c r="AY99" s="219">
        <f>'9. ODG.'!G118</f>
        <v>0</v>
      </c>
      <c r="BA99" s="219">
        <f>'10.KJ'!G118</f>
        <v>1</v>
      </c>
      <c r="BC99" s="219">
        <f>'11. OST.'!G118</f>
        <v>14</v>
      </c>
      <c r="BE99" s="219">
        <f>'12. NZZ'!G118</f>
        <v>0</v>
      </c>
      <c r="BG99" s="219">
        <f>'13. ukupno'!G118</f>
        <v>0</v>
      </c>
      <c r="BH99" s="124">
        <f t="shared" si="18"/>
        <v>-5</v>
      </c>
      <c r="BI99" s="124">
        <f t="shared" si="19"/>
        <v>-15</v>
      </c>
      <c r="BJ99" s="124">
        <f t="shared" si="20"/>
        <v>0</v>
      </c>
      <c r="BK99" s="120">
        <f>'1. OŽ'!H118</f>
        <v>0</v>
      </c>
      <c r="BM99" s="120">
        <f>'2. ŽO osim OŽ'!H118</f>
        <v>0</v>
      </c>
      <c r="BO99" s="120">
        <f>'3. ŽO zbirno'!H118</f>
        <v>0</v>
      </c>
      <c r="BQ99" s="120">
        <f>'4. N i DZ'!H118</f>
        <v>0</v>
      </c>
      <c r="BS99" s="120">
        <f>'5. MV'!H118</f>
        <v>0</v>
      </c>
      <c r="BU99" s="120">
        <f>'6. PO i TR'!H118</f>
        <v>0</v>
      </c>
      <c r="BW99" s="120">
        <f>'7. VAZ'!H118</f>
        <v>0</v>
      </c>
      <c r="BY99" s="120">
        <f>'8. IMOV'!H118</f>
        <v>0</v>
      </c>
      <c r="CA99" s="120">
        <f>'9. ODG.'!H118</f>
        <v>0</v>
      </c>
      <c r="CC99" s="120">
        <f>'10.KJ'!H118</f>
        <v>0</v>
      </c>
      <c r="CE99" s="120">
        <f>'11. OST.'!H118</f>
        <v>0</v>
      </c>
      <c r="CG99" s="120">
        <f>'12. NZZ'!H118</f>
        <v>0</v>
      </c>
      <c r="CI99" s="120">
        <f>'13. ukupno'!H118</f>
        <v>0</v>
      </c>
      <c r="CJ99" s="124">
        <f t="shared" si="21"/>
        <v>0</v>
      </c>
      <c r="CK99" s="124">
        <f t="shared" si="22"/>
        <v>0</v>
      </c>
    </row>
    <row r="100" spans="31:89" ht="51">
      <c r="AE100" s="124"/>
      <c r="AG100" s="85" t="s">
        <v>270</v>
      </c>
      <c r="AH100" s="255">
        <v>1097</v>
      </c>
      <c r="AI100" s="219">
        <f>'1. OŽ'!G119</f>
        <v>40</v>
      </c>
      <c r="AK100" s="219">
        <f>'2. ŽO osim OŽ'!G119</f>
        <v>0</v>
      </c>
      <c r="AM100" s="219">
        <f>'3. ŽO zbirno'!G119</f>
        <v>35</v>
      </c>
      <c r="AO100" s="219">
        <f>'4. N i DZ'!G119</f>
        <v>182</v>
      </c>
      <c r="AQ100" s="219">
        <f>'5. MV'!G119</f>
        <v>193</v>
      </c>
      <c r="AS100" s="219">
        <f>'6. PO i TR'!G119</f>
        <v>143</v>
      </c>
      <c r="AU100" s="219">
        <f>'7. VAZ'!G119</f>
        <v>3</v>
      </c>
      <c r="AW100" s="219">
        <f>'8. IMOV'!G119</f>
        <v>3550</v>
      </c>
      <c r="AY100" s="219">
        <f>'9. ODG.'!G119</f>
        <v>1028</v>
      </c>
      <c r="BA100" s="219">
        <f>'10.KJ'!G119</f>
        <v>0</v>
      </c>
      <c r="BC100" s="219">
        <f>'11. OST.'!G119</f>
        <v>0</v>
      </c>
      <c r="BE100" s="219">
        <f>'12. NZZ'!G119</f>
        <v>5084</v>
      </c>
      <c r="BG100" s="219">
        <f>'13. ukupno'!G119</f>
        <v>5119</v>
      </c>
      <c r="BH100" s="124">
        <f t="shared" si="18"/>
        <v>-5</v>
      </c>
      <c r="BI100" s="124">
        <f t="shared" si="19"/>
        <v>-15</v>
      </c>
      <c r="BJ100" s="124">
        <f t="shared" si="20"/>
        <v>0</v>
      </c>
      <c r="BK100" s="120">
        <f>'1. OŽ'!H119</f>
        <v>0</v>
      </c>
      <c r="BM100" s="120">
        <f>'2. ŽO osim OŽ'!H119</f>
        <v>0</v>
      </c>
      <c r="BO100" s="120">
        <f>'3. ŽO zbirno'!H119</f>
        <v>0</v>
      </c>
      <c r="BQ100" s="120">
        <f>'4. N i DZ'!H119</f>
        <v>0</v>
      </c>
      <c r="BS100" s="120">
        <f>'5. MV'!H119</f>
        <v>0</v>
      </c>
      <c r="BU100" s="120">
        <f>'6. PO i TR'!H119</f>
        <v>0</v>
      </c>
      <c r="BW100" s="120">
        <f>'7. VAZ'!H119</f>
        <v>0</v>
      </c>
      <c r="BY100" s="120">
        <f>'8. IMOV'!H119</f>
        <v>0</v>
      </c>
      <c r="CA100" s="120">
        <f>'9. ODG.'!H119</f>
        <v>0</v>
      </c>
      <c r="CC100" s="120">
        <f>'10.KJ'!H119</f>
        <v>0</v>
      </c>
      <c r="CE100" s="120">
        <f>'11. OST.'!H119</f>
        <v>0</v>
      </c>
      <c r="CG100" s="120">
        <f>'12. NZZ'!H119</f>
        <v>0</v>
      </c>
      <c r="CI100" s="120">
        <f>'13. ukupno'!H119</f>
        <v>0</v>
      </c>
      <c r="CJ100" s="124">
        <f t="shared" si="21"/>
        <v>0</v>
      </c>
      <c r="CK100" s="124">
        <f t="shared" si="22"/>
        <v>0</v>
      </c>
    </row>
    <row r="101" spans="31:89" ht="25.5">
      <c r="AE101" s="124"/>
      <c r="AG101" s="85" t="s">
        <v>316</v>
      </c>
      <c r="AH101" s="255">
        <v>1098</v>
      </c>
      <c r="AI101" s="219">
        <f>'1. OŽ'!G120</f>
        <v>0</v>
      </c>
      <c r="AK101" s="219">
        <f>'2. ŽO osim OŽ'!G120</f>
        <v>34456</v>
      </c>
      <c r="AM101" s="219">
        <f>'3. ŽO zbirno'!G120</f>
        <v>0</v>
      </c>
      <c r="AO101" s="219">
        <f>'4. N i DZ'!G120</f>
        <v>0</v>
      </c>
      <c r="AQ101" s="219">
        <f>'5. MV'!G120</f>
        <v>0</v>
      </c>
      <c r="AS101" s="219">
        <f>'6. PO i TR'!G120</f>
        <v>88268</v>
      </c>
      <c r="AU101" s="219">
        <f>'7. VAZ'!G120</f>
        <v>17992</v>
      </c>
      <c r="AW101" s="219">
        <f>'8. IMOV'!G120</f>
        <v>0</v>
      </c>
      <c r="AY101" s="219">
        <f>'9. ODG.'!G120</f>
        <v>1040330</v>
      </c>
      <c r="BA101" s="219">
        <f>'10.KJ'!G120</f>
        <v>239</v>
      </c>
      <c r="BC101" s="219">
        <f>'11. OST.'!G120</f>
        <v>40455</v>
      </c>
      <c r="BE101" s="219">
        <f>'12. NZZ'!G120</f>
        <v>520591</v>
      </c>
      <c r="BG101" s="219">
        <f>'13. ukupno'!G120</f>
        <v>327733</v>
      </c>
      <c r="BH101" s="124">
        <f t="shared" si="18"/>
        <v>-34456</v>
      </c>
      <c r="BI101" s="124">
        <f t="shared" si="19"/>
        <v>-666693</v>
      </c>
      <c r="BJ101" s="124">
        <f t="shared" si="20"/>
        <v>-192858</v>
      </c>
      <c r="BK101" s="120">
        <f>'1. OŽ'!H120</f>
        <v>0</v>
      </c>
      <c r="BM101" s="120">
        <f>'2. ŽO osim OŽ'!H120</f>
        <v>0</v>
      </c>
      <c r="BO101" s="120">
        <f>'3. ŽO zbirno'!H120</f>
        <v>0</v>
      </c>
      <c r="BQ101" s="120">
        <f>'4. N i DZ'!H120</f>
        <v>0</v>
      </c>
      <c r="BS101" s="120">
        <f>'5. MV'!H120</f>
        <v>0</v>
      </c>
      <c r="BU101" s="120">
        <f>'6. PO i TR'!H120</f>
        <v>0</v>
      </c>
      <c r="BW101" s="120">
        <f>'7. VAZ'!H120</f>
        <v>0</v>
      </c>
      <c r="BY101" s="120">
        <f>'8. IMOV'!H120</f>
        <v>0</v>
      </c>
      <c r="CA101" s="120">
        <f>'9. ODG.'!H120</f>
        <v>0</v>
      </c>
      <c r="CC101" s="120">
        <f>'10.KJ'!H120</f>
        <v>0</v>
      </c>
      <c r="CE101" s="120">
        <f>'11. OST.'!H120</f>
        <v>0</v>
      </c>
      <c r="CG101" s="120">
        <f>'12. NZZ'!H120</f>
        <v>0</v>
      </c>
      <c r="CI101" s="120">
        <f>'13. ukupno'!H120</f>
        <v>0</v>
      </c>
      <c r="CJ101" s="124">
        <f t="shared" si="21"/>
        <v>0</v>
      </c>
      <c r="CK101" s="124">
        <f t="shared" si="22"/>
        <v>0</v>
      </c>
    </row>
    <row r="102" spans="31:89" ht="25.5">
      <c r="AE102" s="124"/>
      <c r="AG102" s="85" t="s">
        <v>317</v>
      </c>
      <c r="AH102" s="255">
        <v>1099</v>
      </c>
      <c r="AI102" s="219">
        <f>'1. OŽ'!G121</f>
        <v>227314</v>
      </c>
      <c r="AK102" s="219">
        <f>'2. ŽO osim OŽ'!G121</f>
        <v>0</v>
      </c>
      <c r="AM102" s="219">
        <f>'3. ŽO zbirno'!G121</f>
        <v>192858</v>
      </c>
      <c r="AO102" s="219">
        <f>'4. N i DZ'!G121</f>
        <v>183929</v>
      </c>
      <c r="AQ102" s="219">
        <f>'5. MV'!G121</f>
        <v>407519</v>
      </c>
      <c r="AS102" s="219">
        <f>'6. PO i TR'!G121</f>
        <v>0</v>
      </c>
      <c r="AU102" s="219">
        <f>'7. VAZ'!G121</f>
        <v>0</v>
      </c>
      <c r="AW102" s="219">
        <f>'8. IMOV'!G121</f>
        <v>75245</v>
      </c>
      <c r="AY102" s="219">
        <f>'9. ODG.'!G121</f>
        <v>0</v>
      </c>
      <c r="BA102" s="219">
        <f>'10.KJ'!G121</f>
        <v>0</v>
      </c>
      <c r="BC102" s="219">
        <f>'11. OST.'!G121</f>
        <v>0</v>
      </c>
      <c r="BE102" s="219">
        <f>'12. NZZ'!G121</f>
        <v>0</v>
      </c>
      <c r="BG102" s="219">
        <f>'13. ukupno'!G121</f>
        <v>0</v>
      </c>
      <c r="BH102" s="124">
        <f t="shared" si="18"/>
        <v>-34456</v>
      </c>
      <c r="BI102" s="124">
        <f t="shared" si="19"/>
        <v>-666693</v>
      </c>
      <c r="BJ102" s="124">
        <f t="shared" si="20"/>
        <v>-192858</v>
      </c>
      <c r="BK102" s="120">
        <f>'1. OŽ'!H121</f>
        <v>0</v>
      </c>
      <c r="BM102" s="120">
        <f>'2. ŽO osim OŽ'!H121</f>
        <v>0</v>
      </c>
      <c r="BO102" s="120">
        <f>'3. ŽO zbirno'!H121</f>
        <v>0</v>
      </c>
      <c r="BQ102" s="120">
        <f>'4. N i DZ'!H121</f>
        <v>219809</v>
      </c>
      <c r="BS102" s="120">
        <f>'5. MV'!H121</f>
        <v>0</v>
      </c>
      <c r="BU102" s="120">
        <f>'6. PO i TR'!H121</f>
        <v>0</v>
      </c>
      <c r="BW102" s="120">
        <f>'7. VAZ'!H121</f>
        <v>39247</v>
      </c>
      <c r="BY102" s="120">
        <f>'8. IMOV'!H121</f>
        <v>361840</v>
      </c>
      <c r="CA102" s="120">
        <f>'9. ODG.'!H121</f>
        <v>260931</v>
      </c>
      <c r="CC102" s="120">
        <f>'10.KJ'!H121</f>
        <v>0</v>
      </c>
      <c r="CE102" s="120">
        <f>'11. OST.'!H121</f>
        <v>14966</v>
      </c>
      <c r="CG102" s="120">
        <f>'12. NZZ'!H121</f>
        <v>0</v>
      </c>
      <c r="CI102" s="120">
        <f>'13. ukupno'!H121</f>
        <v>1381997</v>
      </c>
      <c r="CJ102" s="124">
        <f t="shared" si="21"/>
        <v>485204</v>
      </c>
      <c r="CK102" s="124">
        <f t="shared" si="22"/>
        <v>1381997</v>
      </c>
    </row>
    <row r="103" spans="31:89" ht="12.75">
      <c r="AE103" s="124"/>
      <c r="AG103" s="85" t="s">
        <v>102</v>
      </c>
      <c r="AH103" s="256"/>
      <c r="AI103" s="220">
        <f>'1. OŽ'!G122</f>
        <v>0</v>
      </c>
      <c r="AK103" s="220">
        <f>'2. ŽO osim OŽ'!G122</f>
        <v>0</v>
      </c>
      <c r="AM103" s="220">
        <f>'3. ŽO zbirno'!G122</f>
        <v>0</v>
      </c>
      <c r="AO103" s="220">
        <f>'4. N i DZ'!G122</f>
        <v>0</v>
      </c>
      <c r="AQ103" s="220">
        <f>'5. MV'!G122</f>
        <v>0</v>
      </c>
      <c r="AS103" s="220">
        <f>'6. PO i TR'!G122</f>
        <v>0</v>
      </c>
      <c r="AU103" s="220">
        <f>'7. VAZ'!G122</f>
        <v>0</v>
      </c>
      <c r="AW103" s="220">
        <f>'8. IMOV'!G122</f>
        <v>0</v>
      </c>
      <c r="AY103" s="220">
        <f>'9. ODG.'!G122</f>
        <v>0</v>
      </c>
      <c r="BA103" s="220">
        <f>'10.KJ'!G122</f>
        <v>0</v>
      </c>
      <c r="BC103" s="220">
        <f>'11. OST.'!G122</f>
        <v>0</v>
      </c>
      <c r="BE103" s="220">
        <f>'12. NZZ'!G122</f>
        <v>0</v>
      </c>
      <c r="BG103" s="220">
        <f>'13. ukupno'!G122</f>
        <v>0</v>
      </c>
      <c r="BH103" s="124">
        <f t="shared" si="18"/>
        <v>0</v>
      </c>
      <c r="BI103" s="124">
        <f t="shared" si="19"/>
        <v>0</v>
      </c>
      <c r="BJ103" s="124">
        <f t="shared" si="20"/>
        <v>0</v>
      </c>
      <c r="BK103" s="120">
        <f>'1. OŽ'!H122</f>
        <v>0</v>
      </c>
      <c r="BM103" s="120">
        <f>'2. ŽO osim OŽ'!H122</f>
        <v>0</v>
      </c>
      <c r="BO103" s="120">
        <f>'3. ŽO zbirno'!H122</f>
        <v>0</v>
      </c>
      <c r="BQ103" s="120">
        <f>'4. N i DZ'!H122</f>
        <v>0</v>
      </c>
      <c r="BS103" s="120">
        <f>'5. MV'!H122</f>
        <v>0</v>
      </c>
      <c r="BU103" s="120">
        <f>'6. PO i TR'!H122</f>
        <v>0</v>
      </c>
      <c r="BW103" s="120">
        <f>'7. VAZ'!H122</f>
        <v>0</v>
      </c>
      <c r="BY103" s="120">
        <f>'8. IMOV'!H122</f>
        <v>0</v>
      </c>
      <c r="CA103" s="120">
        <f>'9. ODG.'!H122</f>
        <v>0</v>
      </c>
      <c r="CC103" s="120">
        <f>'10.KJ'!H122</f>
        <v>0</v>
      </c>
      <c r="CE103" s="120">
        <f>'11. OST.'!H122</f>
        <v>0</v>
      </c>
      <c r="CG103" s="120">
        <f>'12. NZZ'!H122</f>
        <v>0</v>
      </c>
      <c r="CI103" s="120">
        <f>'13. ukupno'!H122</f>
        <v>0</v>
      </c>
      <c r="CJ103" s="124">
        <f t="shared" si="21"/>
        <v>0</v>
      </c>
      <c r="CK103" s="124">
        <f t="shared" si="22"/>
        <v>0</v>
      </c>
    </row>
    <row r="104" spans="31:89" ht="12.75">
      <c r="AE104" s="124"/>
      <c r="AG104" s="85" t="s">
        <v>87</v>
      </c>
      <c r="AH104" s="256">
        <v>1100</v>
      </c>
      <c r="AI104" s="220">
        <f>'1. OŽ'!G123</f>
        <v>0</v>
      </c>
      <c r="AK104" s="220">
        <f>'2. ŽO osim OŽ'!G123</f>
        <v>0</v>
      </c>
      <c r="AM104" s="220">
        <f>'3. ŽO zbirno'!G123</f>
        <v>0</v>
      </c>
      <c r="AO104" s="220">
        <f>'4. N i DZ'!G123</f>
        <v>0</v>
      </c>
      <c r="AQ104" s="220">
        <f>'5. MV'!G123</f>
        <v>0</v>
      </c>
      <c r="AS104" s="220">
        <f>'6. PO i TR'!G123</f>
        <v>0</v>
      </c>
      <c r="AU104" s="220">
        <f>'7. VAZ'!G123</f>
        <v>0</v>
      </c>
      <c r="AW104" s="220">
        <f>'8. IMOV'!G123</f>
        <v>0</v>
      </c>
      <c r="AY104" s="220">
        <f>'9. ODG.'!G123</f>
        <v>0</v>
      </c>
      <c r="BA104" s="220">
        <f>'10.KJ'!G123</f>
        <v>0</v>
      </c>
      <c r="BC104" s="220">
        <f>'11. OST.'!G123</f>
        <v>0</v>
      </c>
      <c r="BE104" s="220">
        <f>'12. NZZ'!G123</f>
        <v>0</v>
      </c>
      <c r="BG104" s="220">
        <f>'13. ukupno'!G123</f>
        <v>0</v>
      </c>
      <c r="BH104" s="124">
        <f t="shared" si="18"/>
        <v>0</v>
      </c>
      <c r="BI104" s="124">
        <f t="shared" si="19"/>
        <v>0</v>
      </c>
      <c r="BJ104" s="124">
        <f t="shared" si="20"/>
        <v>0</v>
      </c>
      <c r="BK104" s="120">
        <f>'1. OŽ'!H123</f>
        <v>0</v>
      </c>
      <c r="BM104" s="120">
        <f>'2. ŽO osim OŽ'!H123</f>
        <v>0</v>
      </c>
      <c r="BO104" s="120">
        <f>'3. ŽO zbirno'!H123</f>
        <v>0</v>
      </c>
      <c r="BQ104" s="120">
        <f>'4. N i DZ'!H123</f>
        <v>0</v>
      </c>
      <c r="BS104" s="120">
        <f>'5. MV'!H123</f>
        <v>0</v>
      </c>
      <c r="BU104" s="120">
        <f>'6. PO i TR'!H123</f>
        <v>0</v>
      </c>
      <c r="BW104" s="120">
        <f>'7. VAZ'!H123</f>
        <v>0</v>
      </c>
      <c r="BY104" s="120">
        <f>'8. IMOV'!H123</f>
        <v>0</v>
      </c>
      <c r="CA104" s="120">
        <f>'9. ODG.'!H123</f>
        <v>0</v>
      </c>
      <c r="CC104" s="120">
        <f>'10.KJ'!H123</f>
        <v>0</v>
      </c>
      <c r="CE104" s="120">
        <f>'11. OST.'!H123</f>
        <v>0</v>
      </c>
      <c r="CG104" s="120">
        <f>'12. NZZ'!H123</f>
        <v>0</v>
      </c>
      <c r="CI104" s="120">
        <f>'13. ukupno'!H123</f>
        <v>0</v>
      </c>
      <c r="CJ104" s="124">
        <f t="shared" si="21"/>
        <v>0</v>
      </c>
      <c r="CK104" s="124">
        <f t="shared" si="22"/>
        <v>0</v>
      </c>
    </row>
    <row r="105" spans="31:89" ht="38.25">
      <c r="AE105" s="124"/>
      <c r="AG105" s="51" t="s">
        <v>88</v>
      </c>
      <c r="AH105" s="256">
        <v>1101</v>
      </c>
      <c r="AI105" s="220">
        <f>'1. OŽ'!G124</f>
        <v>0</v>
      </c>
      <c r="AK105" s="220">
        <f>'2. ŽO osim OŽ'!G124</f>
        <v>0</v>
      </c>
      <c r="AM105" s="220">
        <f>'3. ŽO zbirno'!G124</f>
        <v>0</v>
      </c>
      <c r="AO105" s="220">
        <f>'4. N i DZ'!G124</f>
        <v>0</v>
      </c>
      <c r="AQ105" s="220">
        <f>'5. MV'!G124</f>
        <v>0</v>
      </c>
      <c r="AS105" s="220">
        <f>'6. PO i TR'!G124</f>
        <v>0</v>
      </c>
      <c r="AU105" s="220">
        <f>'7. VAZ'!G124</f>
        <v>0</v>
      </c>
      <c r="AW105" s="220">
        <f>'8. IMOV'!G124</f>
        <v>0</v>
      </c>
      <c r="AY105" s="220">
        <f>'9. ODG.'!G124</f>
        <v>0</v>
      </c>
      <c r="BA105" s="220">
        <f>'10.KJ'!G124</f>
        <v>0</v>
      </c>
      <c r="BC105" s="220">
        <f>'11. OST.'!G124</f>
        <v>42585</v>
      </c>
      <c r="BE105" s="220">
        <f>'12. NZZ'!G124</f>
        <v>42585</v>
      </c>
      <c r="BG105" s="220">
        <f>'13. ukupno'!G124</f>
        <v>42585</v>
      </c>
      <c r="BH105" s="124">
        <f t="shared" si="18"/>
        <v>0</v>
      </c>
      <c r="BI105" s="124">
        <f t="shared" si="19"/>
        <v>0</v>
      </c>
      <c r="BJ105" s="124">
        <f t="shared" si="20"/>
        <v>0</v>
      </c>
      <c r="BK105" s="120">
        <f>'1. OŽ'!H124</f>
        <v>0</v>
      </c>
      <c r="BM105" s="120">
        <f>'2. ŽO osim OŽ'!H124</f>
        <v>0</v>
      </c>
      <c r="BO105" s="120">
        <f>'3. ŽO zbirno'!H124</f>
        <v>0</v>
      </c>
      <c r="BQ105" s="120">
        <f>'4. N i DZ'!H124</f>
        <v>0</v>
      </c>
      <c r="BS105" s="120">
        <f>'5. MV'!H124</f>
        <v>0</v>
      </c>
      <c r="BU105" s="120">
        <f>'6. PO i TR'!H124</f>
        <v>0</v>
      </c>
      <c r="BW105" s="120">
        <f>'7. VAZ'!H124</f>
        <v>0</v>
      </c>
      <c r="BY105" s="120">
        <f>'8. IMOV'!H124</f>
        <v>8054</v>
      </c>
      <c r="CA105" s="120">
        <f>'9. ODG.'!H124</f>
        <v>0</v>
      </c>
      <c r="CC105" s="120">
        <f>'10.KJ'!H124</f>
        <v>0</v>
      </c>
      <c r="CE105" s="120">
        <f>'11. OST.'!H124</f>
        <v>0</v>
      </c>
      <c r="CG105" s="120">
        <f>'12. NZZ'!H124</f>
        <v>0</v>
      </c>
      <c r="CI105" s="120">
        <f>'13. ukupno'!H124</f>
        <v>8054</v>
      </c>
      <c r="CJ105" s="124">
        <f t="shared" si="21"/>
        <v>0</v>
      </c>
      <c r="CK105" s="124">
        <f t="shared" si="22"/>
        <v>8054</v>
      </c>
    </row>
    <row r="106" spans="31:89" ht="38.25">
      <c r="AE106" s="124"/>
      <c r="AG106" s="51" t="s">
        <v>89</v>
      </c>
      <c r="AH106" s="256">
        <v>1102</v>
      </c>
      <c r="AI106" s="220">
        <f>'1. OŽ'!G125</f>
        <v>0</v>
      </c>
      <c r="AK106" s="220">
        <f>'2. ŽO osim OŽ'!G125</f>
        <v>0</v>
      </c>
      <c r="AM106" s="220">
        <f>'3. ŽO zbirno'!G125</f>
        <v>0</v>
      </c>
      <c r="AO106" s="220">
        <f>'4. N i DZ'!G125</f>
        <v>0</v>
      </c>
      <c r="AQ106" s="220">
        <f>'5. MV'!G125</f>
        <v>0</v>
      </c>
      <c r="AS106" s="220">
        <f>'6. PO i TR'!G125</f>
        <v>0</v>
      </c>
      <c r="AU106" s="220">
        <f>'7. VAZ'!G125</f>
        <v>0</v>
      </c>
      <c r="AW106" s="220">
        <f>'8. IMOV'!G125</f>
        <v>0</v>
      </c>
      <c r="AY106" s="220">
        <f>'9. ODG.'!G125</f>
        <v>0</v>
      </c>
      <c r="BA106" s="220">
        <f>'10.KJ'!G125</f>
        <v>0</v>
      </c>
      <c r="BC106" s="220">
        <f>'11. OST.'!G125</f>
        <v>0</v>
      </c>
      <c r="BE106" s="220">
        <f>'12. NZZ'!G125</f>
        <v>0</v>
      </c>
      <c r="BG106" s="220">
        <f>'13. ukupno'!G125</f>
        <v>0</v>
      </c>
      <c r="BH106" s="124">
        <f t="shared" si="18"/>
        <v>0</v>
      </c>
      <c r="BI106" s="124">
        <f t="shared" si="19"/>
        <v>0</v>
      </c>
      <c r="BJ106" s="124">
        <f t="shared" si="20"/>
        <v>0</v>
      </c>
      <c r="BK106" s="120">
        <f>'1. OŽ'!H125</f>
        <v>0</v>
      </c>
      <c r="BM106" s="120">
        <f>'2. ŽO osim OŽ'!H125</f>
        <v>0</v>
      </c>
      <c r="BO106" s="120">
        <f>'3. ŽO zbirno'!H125</f>
        <v>0</v>
      </c>
      <c r="BQ106" s="120">
        <f>'4. N i DZ'!H125</f>
        <v>0</v>
      </c>
      <c r="BS106" s="120">
        <f>'5. MV'!H125</f>
        <v>0</v>
      </c>
      <c r="BU106" s="120">
        <f>'6. PO i TR'!H125</f>
        <v>0</v>
      </c>
      <c r="BW106" s="120">
        <f>'7. VAZ'!H125</f>
        <v>0</v>
      </c>
      <c r="BY106" s="120">
        <f>'8. IMOV'!H125</f>
        <v>0</v>
      </c>
      <c r="CA106" s="120">
        <f>'9. ODG.'!H125</f>
        <v>0</v>
      </c>
      <c r="CC106" s="120">
        <f>'10.KJ'!H125</f>
        <v>0</v>
      </c>
      <c r="CE106" s="120">
        <f>'11. OST.'!H125</f>
        <v>0</v>
      </c>
      <c r="CG106" s="120">
        <f>'12. NZZ'!H125</f>
        <v>0</v>
      </c>
      <c r="CI106" s="120">
        <f>'13. ukupno'!H125</f>
        <v>0</v>
      </c>
      <c r="CJ106" s="124">
        <f t="shared" si="21"/>
        <v>0</v>
      </c>
      <c r="CK106" s="124">
        <f t="shared" si="22"/>
        <v>0</v>
      </c>
    </row>
    <row r="107" spans="31:89" ht="12.75">
      <c r="AE107" s="124"/>
      <c r="AG107" s="52" t="s">
        <v>318</v>
      </c>
      <c r="AH107" s="258">
        <v>1103</v>
      </c>
      <c r="AI107" s="223" t="str">
        <f>'1. OŽ'!G126</f>
        <v>0</v>
      </c>
      <c r="AK107" s="223">
        <f>'2. ŽO osim OŽ'!G126</f>
        <v>34456</v>
      </c>
      <c r="AM107" s="223" t="str">
        <f>'3. ŽO zbirno'!G126</f>
        <v>0</v>
      </c>
      <c r="AO107" s="223" t="str">
        <f>'4. N i DZ'!G126</f>
        <v>0</v>
      </c>
      <c r="AQ107" s="223" t="str">
        <f>'5. MV'!G126</f>
        <v>0</v>
      </c>
      <c r="AS107" s="223">
        <f>'6. PO i TR'!G126</f>
        <v>88268</v>
      </c>
      <c r="AU107" s="223">
        <f>'7. VAZ'!G126</f>
        <v>17992</v>
      </c>
      <c r="AW107" s="223" t="str">
        <f>'8. IMOV'!G126</f>
        <v>0</v>
      </c>
      <c r="AY107" s="223">
        <f>'9. ODG.'!G126</f>
        <v>1040330</v>
      </c>
      <c r="BA107" s="223">
        <f>'10.KJ'!G126</f>
        <v>239</v>
      </c>
      <c r="BC107" s="223">
        <f>'11. OST.'!G126</f>
        <v>83040</v>
      </c>
      <c r="BE107" s="223">
        <f>'12. NZZ'!G126</f>
        <v>563176</v>
      </c>
      <c r="BG107" s="223">
        <f>'13. ukupno'!G126</f>
        <v>370318</v>
      </c>
      <c r="BH107" s="124">
        <f t="shared" si="18"/>
        <v>-34456</v>
      </c>
      <c r="BI107" s="124">
        <f t="shared" si="19"/>
        <v>-666693</v>
      </c>
      <c r="BJ107" s="124">
        <f t="shared" si="20"/>
        <v>-192858</v>
      </c>
      <c r="BK107" s="120">
        <f>'1. OŽ'!H126</f>
        <v>0</v>
      </c>
      <c r="BM107" s="120">
        <f>'2. ŽO osim OŽ'!H126</f>
        <v>0</v>
      </c>
      <c r="BO107" s="120">
        <f>'3. ŽO zbirno'!H126</f>
        <v>0</v>
      </c>
      <c r="BQ107" s="120" t="str">
        <f>'4. N i DZ'!H126</f>
        <v>0</v>
      </c>
      <c r="BS107" s="120">
        <f>'5. MV'!H126</f>
        <v>0</v>
      </c>
      <c r="BU107" s="120">
        <f>'6. PO i TR'!H126</f>
        <v>0</v>
      </c>
      <c r="BW107" s="120" t="str">
        <f>'7. VAZ'!H126</f>
        <v>0</v>
      </c>
      <c r="BY107" s="120" t="str">
        <f>'8. IMOV'!H126</f>
        <v>0</v>
      </c>
      <c r="CA107" s="120" t="str">
        <f>'9. ODG.'!H126</f>
        <v>0</v>
      </c>
      <c r="CC107" s="120">
        <f>'10.KJ'!H126</f>
        <v>0</v>
      </c>
      <c r="CE107" s="120" t="str">
        <f>'11. OST.'!H126</f>
        <v>0</v>
      </c>
      <c r="CG107" s="120">
        <f>'12. NZZ'!H126</f>
        <v>0</v>
      </c>
      <c r="CI107" s="120" t="str">
        <f>'13. ukupno'!H126</f>
        <v>0</v>
      </c>
      <c r="CJ107" s="124">
        <f t="shared" si="21"/>
        <v>0</v>
      </c>
      <c r="CK107" s="124">
        <f t="shared" si="22"/>
        <v>0</v>
      </c>
    </row>
    <row r="108" spans="31:89" ht="12.75">
      <c r="AE108" s="124"/>
      <c r="AG108" s="53" t="s">
        <v>272</v>
      </c>
      <c r="AH108" s="254">
        <v>1104</v>
      </c>
      <c r="AI108" s="218">
        <f>'1. OŽ'!G127</f>
        <v>0</v>
      </c>
      <c r="AK108" s="218">
        <f>'2. ŽO osim OŽ'!G127</f>
        <v>0</v>
      </c>
      <c r="AM108" s="218">
        <f>'3. ŽO zbirno'!G127</f>
        <v>0</v>
      </c>
      <c r="AO108" s="218">
        <f>'4. N i DZ'!G127</f>
        <v>0</v>
      </c>
      <c r="AQ108" s="218">
        <f>'5. MV'!G127</f>
        <v>0</v>
      </c>
      <c r="AS108" s="218">
        <f>'6. PO i TR'!G127</f>
        <v>0</v>
      </c>
      <c r="AU108" s="218">
        <f>'7. VAZ'!G127</f>
        <v>0</v>
      </c>
      <c r="AW108" s="218">
        <f>'8. IMOV'!G127</f>
        <v>0</v>
      </c>
      <c r="AY108" s="218">
        <f>'9. ODG.'!G127</f>
        <v>0</v>
      </c>
      <c r="BA108" s="218">
        <f>'10.KJ'!G127</f>
        <v>0</v>
      </c>
      <c r="BC108" s="218">
        <f>'11. OST.'!G127</f>
        <v>0</v>
      </c>
      <c r="BE108" s="218">
        <f>'12. NZZ'!G127</f>
        <v>0</v>
      </c>
      <c r="BG108" s="218">
        <f>'13. ukupno'!G127</f>
        <v>0</v>
      </c>
      <c r="BH108" s="124">
        <f t="shared" si="18"/>
        <v>0</v>
      </c>
      <c r="BI108" s="124">
        <f t="shared" si="19"/>
        <v>0</v>
      </c>
      <c r="BJ108" s="124">
        <f t="shared" si="20"/>
        <v>0</v>
      </c>
      <c r="BK108" s="120">
        <f>'1. OŽ'!H127</f>
        <v>0</v>
      </c>
      <c r="BM108" s="120">
        <f>'2. ŽO osim OŽ'!H127</f>
        <v>0</v>
      </c>
      <c r="BO108" s="120">
        <f>'3. ŽO zbirno'!H127</f>
        <v>0</v>
      </c>
      <c r="BQ108" s="120">
        <f>'4. N i DZ'!H127</f>
        <v>0</v>
      </c>
      <c r="BS108" s="120">
        <f>'5. MV'!H127</f>
        <v>0</v>
      </c>
      <c r="BU108" s="120">
        <f>'6. PO i TR'!H127</f>
        <v>0</v>
      </c>
      <c r="BW108" s="120">
        <f>'7. VAZ'!H127</f>
        <v>0</v>
      </c>
      <c r="BY108" s="120">
        <f>'8. IMOV'!H127</f>
        <v>0</v>
      </c>
      <c r="CA108" s="120">
        <f>'9. ODG.'!H127</f>
        <v>0</v>
      </c>
      <c r="CC108" s="120">
        <f>'10.KJ'!H127</f>
        <v>0</v>
      </c>
      <c r="CE108" s="120">
        <f>'11. OST.'!H127</f>
        <v>0</v>
      </c>
      <c r="CG108" s="120">
        <f>'12. NZZ'!H127</f>
        <v>0</v>
      </c>
      <c r="CI108" s="120">
        <f>'13. ukupno'!H127</f>
        <v>0</v>
      </c>
      <c r="CJ108" s="124">
        <f t="shared" si="21"/>
        <v>0</v>
      </c>
      <c r="CK108" s="124">
        <f t="shared" si="22"/>
        <v>0</v>
      </c>
    </row>
    <row r="109" spans="31:89" ht="12.75">
      <c r="AE109" s="124"/>
      <c r="AG109" s="53" t="s">
        <v>273</v>
      </c>
      <c r="AH109" s="254">
        <v>1105</v>
      </c>
      <c r="AI109" s="218">
        <f>'1. OŽ'!G128</f>
        <v>0</v>
      </c>
      <c r="AK109" s="218">
        <f>'2. ŽO osim OŽ'!G128</f>
        <v>0</v>
      </c>
      <c r="AM109" s="218">
        <f>'3. ŽO zbirno'!G128</f>
        <v>0</v>
      </c>
      <c r="AO109" s="218">
        <f>'4. N i DZ'!G128</f>
        <v>0</v>
      </c>
      <c r="AQ109" s="218">
        <f>'5. MV'!G128</f>
        <v>0</v>
      </c>
      <c r="AS109" s="218">
        <f>'6. PO i TR'!G128</f>
        <v>0</v>
      </c>
      <c r="AU109" s="218">
        <f>'7. VAZ'!G128</f>
        <v>0</v>
      </c>
      <c r="AW109" s="218">
        <f>'8. IMOV'!G128</f>
        <v>0</v>
      </c>
      <c r="AY109" s="218">
        <f>'9. ODG.'!G128</f>
        <v>0</v>
      </c>
      <c r="BA109" s="218">
        <f>'10.KJ'!G128</f>
        <v>0</v>
      </c>
      <c r="BC109" s="218">
        <f>'11. OST.'!G128</f>
        <v>0</v>
      </c>
      <c r="BE109" s="218">
        <f>'12. NZZ'!G128</f>
        <v>0</v>
      </c>
      <c r="BG109" s="218">
        <f>'13. ukupno'!G128</f>
        <v>0</v>
      </c>
      <c r="BH109" s="124">
        <f t="shared" si="18"/>
        <v>0</v>
      </c>
      <c r="BI109" s="124">
        <f t="shared" si="19"/>
        <v>0</v>
      </c>
      <c r="BJ109" s="124">
        <f t="shared" si="20"/>
        <v>0</v>
      </c>
      <c r="BK109" s="120">
        <f>'1. OŽ'!H128</f>
        <v>0</v>
      </c>
      <c r="BM109" s="120">
        <f>'2. ŽO osim OŽ'!H128</f>
        <v>0</v>
      </c>
      <c r="BO109" s="120">
        <f>'3. ŽO zbirno'!H128</f>
        <v>0</v>
      </c>
      <c r="BQ109" s="120">
        <f>'4. N i DZ'!H128</f>
        <v>0</v>
      </c>
      <c r="BS109" s="120">
        <f>'5. MV'!H128</f>
        <v>0</v>
      </c>
      <c r="BU109" s="120">
        <f>'6. PO i TR'!H128</f>
        <v>0</v>
      </c>
      <c r="BW109" s="120">
        <f>'7. VAZ'!H128</f>
        <v>0</v>
      </c>
      <c r="BY109" s="120">
        <f>'8. IMOV'!H128</f>
        <v>0</v>
      </c>
      <c r="CA109" s="120">
        <f>'9. ODG.'!H128</f>
        <v>0</v>
      </c>
      <c r="CC109" s="120">
        <f>'10.KJ'!H128</f>
        <v>0</v>
      </c>
      <c r="CE109" s="120">
        <f>'11. OST.'!H128</f>
        <v>0</v>
      </c>
      <c r="CG109" s="120">
        <f>'12. NZZ'!H128</f>
        <v>0</v>
      </c>
      <c r="CI109" s="120">
        <f>'13. ukupno'!H128</f>
        <v>0</v>
      </c>
      <c r="CJ109" s="124">
        <f t="shared" si="21"/>
        <v>0</v>
      </c>
      <c r="CK109" s="124">
        <f t="shared" si="22"/>
        <v>0</v>
      </c>
    </row>
    <row r="110" spans="31:89" ht="12.75">
      <c r="AE110" s="124"/>
      <c r="AG110" s="85" t="s">
        <v>319</v>
      </c>
      <c r="AH110" s="258">
        <v>1106</v>
      </c>
      <c r="AI110" s="223">
        <f>'1. OŽ'!G129</f>
        <v>227314</v>
      </c>
      <c r="AK110" s="223" t="str">
        <f>'2. ŽO osim OŽ'!G129</f>
        <v>0</v>
      </c>
      <c r="AM110" s="223">
        <f>'3. ŽO zbirno'!G129</f>
        <v>192858</v>
      </c>
      <c r="AO110" s="223">
        <f>'4. N i DZ'!G129</f>
        <v>183929</v>
      </c>
      <c r="AQ110" s="223">
        <f>'5. MV'!G129</f>
        <v>407519</v>
      </c>
      <c r="AS110" s="223" t="str">
        <f>'6. PO i TR'!G129</f>
        <v>0</v>
      </c>
      <c r="AU110" s="223" t="str">
        <f>'7. VAZ'!G129</f>
        <v>0</v>
      </c>
      <c r="AW110" s="223">
        <f>'8. IMOV'!G129</f>
        <v>75245</v>
      </c>
      <c r="AY110" s="223" t="str">
        <f>'9. ODG.'!G129</f>
        <v>0</v>
      </c>
      <c r="BA110" s="223" t="str">
        <f>'10.KJ'!G129</f>
        <v>0</v>
      </c>
      <c r="BC110" s="223" t="str">
        <f>'11. OST.'!G129</f>
        <v>0</v>
      </c>
      <c r="BE110" s="223" t="str">
        <f>'12. NZZ'!G129</f>
        <v>0</v>
      </c>
      <c r="BG110" s="223" t="str">
        <f>'13. ukupno'!G129</f>
        <v>0</v>
      </c>
      <c r="BH110" s="124">
        <f t="shared" si="18"/>
        <v>-34456</v>
      </c>
      <c r="BI110" s="124">
        <f t="shared" si="19"/>
        <v>-666693</v>
      </c>
      <c r="BJ110" s="124">
        <f t="shared" si="20"/>
        <v>-192858</v>
      </c>
      <c r="BK110" s="120">
        <f>'1. OŽ'!H129</f>
        <v>0</v>
      </c>
      <c r="BM110" s="120">
        <f>'2. ŽO osim OŽ'!H129</f>
        <v>0</v>
      </c>
      <c r="BO110" s="120">
        <f>'3. ŽO zbirno'!H129</f>
        <v>0</v>
      </c>
      <c r="BQ110" s="120">
        <f>'4. N i DZ'!H129</f>
        <v>219809</v>
      </c>
      <c r="BS110" s="120">
        <f>'5. MV'!H129</f>
        <v>0</v>
      </c>
      <c r="BU110" s="120">
        <f>'6. PO i TR'!H129</f>
        <v>0</v>
      </c>
      <c r="BW110" s="120">
        <f>'7. VAZ'!H129</f>
        <v>39247</v>
      </c>
      <c r="BY110" s="120">
        <f>'8. IMOV'!H129</f>
        <v>353786</v>
      </c>
      <c r="CA110" s="120">
        <f>'9. ODG.'!H129</f>
        <v>260931</v>
      </c>
      <c r="CC110" s="120">
        <f>'10.KJ'!H129</f>
        <v>0</v>
      </c>
      <c r="CE110" s="120">
        <f>'11. OST.'!H129</f>
        <v>14966</v>
      </c>
      <c r="CG110" s="120">
        <f>'12. NZZ'!H129</f>
        <v>0</v>
      </c>
      <c r="CI110" s="120">
        <f>'13. ukupno'!H129</f>
        <v>1373943</v>
      </c>
      <c r="CJ110" s="124">
        <f t="shared" si="21"/>
        <v>485204</v>
      </c>
      <c r="CK110" s="124">
        <f t="shared" si="22"/>
        <v>1373943</v>
      </c>
    </row>
    <row r="111" spans="31:89" ht="12.75">
      <c r="AE111" s="124"/>
      <c r="AG111" s="39" t="s">
        <v>274</v>
      </c>
      <c r="AH111" s="256">
        <v>1107</v>
      </c>
      <c r="AI111" s="220">
        <f>'1. OŽ'!G130</f>
        <v>0</v>
      </c>
      <c r="AK111" s="220">
        <f>'2. ŽO osim OŽ'!G130</f>
        <v>0</v>
      </c>
      <c r="AM111" s="220">
        <f>'3. ŽO zbirno'!G130</f>
        <v>0</v>
      </c>
      <c r="AO111" s="220">
        <f>'4. N i DZ'!G130</f>
        <v>0</v>
      </c>
      <c r="AQ111" s="220">
        <f>'5. MV'!G130</f>
        <v>0</v>
      </c>
      <c r="AS111" s="220">
        <f>'6. PO i TR'!G130</f>
        <v>0</v>
      </c>
      <c r="AU111" s="220">
        <f>'7. VAZ'!G130</f>
        <v>0</v>
      </c>
      <c r="AW111" s="220">
        <f>'8. IMOV'!G130</f>
        <v>0</v>
      </c>
      <c r="AY111" s="220">
        <f>'9. ODG.'!G130</f>
        <v>0</v>
      </c>
      <c r="BA111" s="220">
        <f>'10.KJ'!G130</f>
        <v>0</v>
      </c>
      <c r="BC111" s="220">
        <f>'11. OST.'!G130</f>
        <v>0</v>
      </c>
      <c r="BE111" s="220">
        <f>'12. NZZ'!G130</f>
        <v>0</v>
      </c>
      <c r="BG111" s="220">
        <f>'13. ukupno'!G130</f>
        <v>0</v>
      </c>
      <c r="BH111" s="124">
        <f t="shared" si="18"/>
        <v>0</v>
      </c>
      <c r="BI111" s="124">
        <f t="shared" si="19"/>
        <v>0</v>
      </c>
      <c r="BJ111" s="124">
        <f t="shared" si="20"/>
        <v>0</v>
      </c>
      <c r="BK111" s="120">
        <f>'1. OŽ'!H130</f>
        <v>0</v>
      </c>
      <c r="BM111" s="120">
        <f>'2. ŽO osim OŽ'!H130</f>
        <v>0</v>
      </c>
      <c r="BO111" s="120">
        <f>'3. ŽO zbirno'!H130</f>
        <v>0</v>
      </c>
      <c r="BQ111" s="120">
        <f>'4. N i DZ'!H130</f>
        <v>0</v>
      </c>
      <c r="BS111" s="120">
        <f>'5. MV'!H130</f>
        <v>0</v>
      </c>
      <c r="BU111" s="120">
        <f>'6. PO i TR'!H130</f>
        <v>0</v>
      </c>
      <c r="BW111" s="120">
        <f>'7. VAZ'!H130</f>
        <v>0</v>
      </c>
      <c r="BY111" s="120">
        <f>'8. IMOV'!H130</f>
        <v>0</v>
      </c>
      <c r="CA111" s="120">
        <f>'9. ODG.'!H130</f>
        <v>0</v>
      </c>
      <c r="CC111" s="120">
        <f>'10.KJ'!H130</f>
        <v>0</v>
      </c>
      <c r="CE111" s="120">
        <f>'11. OST.'!H130</f>
        <v>0</v>
      </c>
      <c r="CG111" s="120">
        <f>'12. NZZ'!H130</f>
        <v>0</v>
      </c>
      <c r="CI111" s="120">
        <f>'13. ukupno'!H130</f>
        <v>0</v>
      </c>
      <c r="CJ111" s="124">
        <f t="shared" si="21"/>
        <v>0</v>
      </c>
      <c r="CK111" s="124">
        <f t="shared" si="22"/>
        <v>0</v>
      </c>
    </row>
    <row r="112" spans="31:89" ht="12.75">
      <c r="AE112" s="124"/>
      <c r="AG112" s="39" t="s">
        <v>275</v>
      </c>
      <c r="AH112" s="256">
        <v>1108</v>
      </c>
      <c r="AI112" s="220">
        <f>'1. OŽ'!G131</f>
        <v>0</v>
      </c>
      <c r="AK112" s="220">
        <f>'2. ŽO osim OŽ'!G131</f>
        <v>0</v>
      </c>
      <c r="AM112" s="220">
        <f>'3. ŽO zbirno'!G131</f>
        <v>0</v>
      </c>
      <c r="AO112" s="220">
        <f>'4. N i DZ'!G131</f>
        <v>0</v>
      </c>
      <c r="AQ112" s="220">
        <f>'5. MV'!G131</f>
        <v>0</v>
      </c>
      <c r="AS112" s="220">
        <f>'6. PO i TR'!G131</f>
        <v>0</v>
      </c>
      <c r="AU112" s="220">
        <f>'7. VAZ'!G131</f>
        <v>0</v>
      </c>
      <c r="AW112" s="220">
        <f>'8. IMOV'!G131</f>
        <v>0</v>
      </c>
      <c r="AY112" s="220">
        <f>'9. ODG.'!G131</f>
        <v>0</v>
      </c>
      <c r="BA112" s="220">
        <f>'10.KJ'!G131</f>
        <v>0</v>
      </c>
      <c r="BC112" s="220">
        <f>'11. OST.'!G131</f>
        <v>0</v>
      </c>
      <c r="BE112" s="220">
        <f>'12. NZZ'!G131</f>
        <v>0</v>
      </c>
      <c r="BG112" s="220">
        <f>'13. ukupno'!G131</f>
        <v>0</v>
      </c>
      <c r="BH112" s="124">
        <f t="shared" si="18"/>
        <v>0</v>
      </c>
      <c r="BI112" s="124">
        <f t="shared" si="19"/>
        <v>0</v>
      </c>
      <c r="BJ112" s="124">
        <f t="shared" si="20"/>
        <v>0</v>
      </c>
      <c r="BK112" s="120">
        <f>'1. OŽ'!H131</f>
        <v>0</v>
      </c>
      <c r="BM112" s="120">
        <f>'2. ŽO osim OŽ'!H131</f>
        <v>0</v>
      </c>
      <c r="BO112" s="120">
        <f>'3. ŽO zbirno'!H131</f>
        <v>0</v>
      </c>
      <c r="BQ112" s="120">
        <f>'4. N i DZ'!H131</f>
        <v>0</v>
      </c>
      <c r="BS112" s="120">
        <f>'5. MV'!H131</f>
        <v>0</v>
      </c>
      <c r="BU112" s="120">
        <f>'6. PO i TR'!H131</f>
        <v>0</v>
      </c>
      <c r="BW112" s="120">
        <f>'7. VAZ'!H131</f>
        <v>0</v>
      </c>
      <c r="BY112" s="120">
        <f>'8. IMOV'!H131</f>
        <v>0</v>
      </c>
      <c r="CA112" s="120">
        <f>'9. ODG.'!H131</f>
        <v>0</v>
      </c>
      <c r="CC112" s="120">
        <f>'10.KJ'!H131</f>
        <v>0</v>
      </c>
      <c r="CE112" s="120">
        <f>'11. OST.'!H131</f>
        <v>0</v>
      </c>
      <c r="CG112" s="120">
        <f>'12. NZZ'!H131</f>
        <v>0</v>
      </c>
      <c r="CI112" s="120">
        <f>'13. ukupno'!H131</f>
        <v>0</v>
      </c>
      <c r="CJ112" s="124">
        <f t="shared" si="21"/>
        <v>0</v>
      </c>
      <c r="CK112" s="124">
        <f t="shared" si="22"/>
        <v>0</v>
      </c>
    </row>
    <row r="113" spans="31:89" ht="12.75">
      <c r="AE113" s="124"/>
      <c r="AG113" s="85" t="s">
        <v>94</v>
      </c>
      <c r="AH113" s="256">
        <v>1109</v>
      </c>
      <c r="AI113" s="220">
        <f>'1. OŽ'!G132</f>
        <v>0</v>
      </c>
      <c r="AK113" s="220">
        <f>'2. ŽO osim OŽ'!G132</f>
        <v>0</v>
      </c>
      <c r="AM113" s="220">
        <f>'3. ŽO zbirno'!G132</f>
        <v>0</v>
      </c>
      <c r="AO113" s="220">
        <f>'4. N i DZ'!G132</f>
        <v>0</v>
      </c>
      <c r="AQ113" s="220">
        <f>'5. MV'!G132</f>
        <v>0</v>
      </c>
      <c r="AS113" s="220">
        <f>'6. PO i TR'!G132</f>
        <v>0</v>
      </c>
      <c r="AU113" s="220">
        <f>'7. VAZ'!G132</f>
        <v>0</v>
      </c>
      <c r="AW113" s="220">
        <f>'8. IMOV'!G132</f>
        <v>0</v>
      </c>
      <c r="AY113" s="220">
        <f>'9. ODG.'!G132</f>
        <v>0</v>
      </c>
      <c r="BA113" s="220">
        <f>'10.KJ'!G132</f>
        <v>0</v>
      </c>
      <c r="BC113" s="220">
        <f>'11. OST.'!G132</f>
        <v>0</v>
      </c>
      <c r="BE113" s="220">
        <f>'12. NZZ'!G132</f>
        <v>0</v>
      </c>
      <c r="BG113" s="220">
        <f>'13. ukupno'!G132</f>
        <v>0</v>
      </c>
      <c r="BH113" s="124">
        <f t="shared" si="18"/>
        <v>0</v>
      </c>
      <c r="BI113" s="124">
        <f t="shared" si="19"/>
        <v>0</v>
      </c>
      <c r="BJ113" s="124">
        <f t="shared" si="20"/>
        <v>0</v>
      </c>
      <c r="BK113" s="120">
        <f>'1. OŽ'!H132</f>
        <v>0</v>
      </c>
      <c r="BM113" s="120">
        <f>'2. ŽO osim OŽ'!H132</f>
        <v>0</v>
      </c>
      <c r="BO113" s="120">
        <f>'3. ŽO zbirno'!H132</f>
        <v>0</v>
      </c>
      <c r="BQ113" s="120">
        <f>'4. N i DZ'!H132</f>
        <v>0</v>
      </c>
      <c r="BS113" s="120">
        <f>'5. MV'!H132</f>
        <v>0</v>
      </c>
      <c r="BU113" s="120">
        <f>'6. PO i TR'!H132</f>
        <v>0</v>
      </c>
      <c r="BW113" s="120">
        <f>'7. VAZ'!H132</f>
        <v>0</v>
      </c>
      <c r="BY113" s="120">
        <f>'8. IMOV'!H132</f>
        <v>0</v>
      </c>
      <c r="CA113" s="120">
        <f>'9. ODG.'!H132</f>
        <v>0</v>
      </c>
      <c r="CC113" s="120">
        <f>'10.KJ'!H132</f>
        <v>0</v>
      </c>
      <c r="CE113" s="120">
        <f>'11. OST.'!H132</f>
        <v>0</v>
      </c>
      <c r="CG113" s="120">
        <f>'12. NZZ'!H132</f>
        <v>0</v>
      </c>
      <c r="CI113" s="120">
        <f>'13. ukupno'!H132</f>
        <v>0</v>
      </c>
      <c r="CJ113" s="124">
        <f t="shared" si="21"/>
        <v>0</v>
      </c>
      <c r="CK113" s="124">
        <f t="shared" si="22"/>
        <v>0</v>
      </c>
    </row>
    <row r="114" spans="31:89" ht="12.75">
      <c r="AE114" s="124"/>
      <c r="AG114" s="39" t="s">
        <v>276</v>
      </c>
      <c r="AH114" s="256">
        <v>1110</v>
      </c>
      <c r="AI114" s="220">
        <f>'1. OŽ'!G133</f>
        <v>0</v>
      </c>
      <c r="AK114" s="220">
        <f>'2. ŽO osim OŽ'!G133</f>
        <v>0</v>
      </c>
      <c r="AM114" s="220">
        <f>'3. ŽO zbirno'!G133</f>
        <v>0</v>
      </c>
      <c r="AO114" s="220">
        <f>'4. N i DZ'!G133</f>
        <v>0</v>
      </c>
      <c r="AQ114" s="220">
        <f>'5. MV'!G133</f>
        <v>0</v>
      </c>
      <c r="AS114" s="220">
        <f>'6. PO i TR'!G133</f>
        <v>0</v>
      </c>
      <c r="AU114" s="220">
        <f>'7. VAZ'!G133</f>
        <v>0</v>
      </c>
      <c r="AW114" s="220">
        <f>'8. IMOV'!G133</f>
        <v>0</v>
      </c>
      <c r="AY114" s="220">
        <f>'9. ODG.'!G133</f>
        <v>0</v>
      </c>
      <c r="BA114" s="220">
        <f>'10.KJ'!G133</f>
        <v>0</v>
      </c>
      <c r="BC114" s="220">
        <f>'11. OST.'!G133</f>
        <v>0</v>
      </c>
      <c r="BE114" s="220">
        <f>'12. NZZ'!G133</f>
        <v>0</v>
      </c>
      <c r="BG114" s="220">
        <f>'13. ukupno'!G133</f>
        <v>0</v>
      </c>
      <c r="BH114" s="124">
        <f t="shared" si="18"/>
        <v>0</v>
      </c>
      <c r="BI114" s="124">
        <f t="shared" si="19"/>
        <v>0</v>
      </c>
      <c r="BJ114" s="124">
        <f t="shared" si="20"/>
        <v>0</v>
      </c>
      <c r="BK114" s="120">
        <f>'1. OŽ'!H133</f>
        <v>0</v>
      </c>
      <c r="BM114" s="120">
        <f>'2. ŽO osim OŽ'!H133</f>
        <v>0</v>
      </c>
      <c r="BO114" s="120">
        <f>'3. ŽO zbirno'!H133</f>
        <v>0</v>
      </c>
      <c r="BQ114" s="120">
        <f>'4. N i DZ'!H133</f>
        <v>0</v>
      </c>
      <c r="BS114" s="120">
        <f>'5. MV'!H133</f>
        <v>0</v>
      </c>
      <c r="BU114" s="120">
        <f>'6. PO i TR'!H133</f>
        <v>0</v>
      </c>
      <c r="BW114" s="120">
        <f>'7. VAZ'!H133</f>
        <v>0</v>
      </c>
      <c r="BY114" s="120">
        <f>'8. IMOV'!H133</f>
        <v>0</v>
      </c>
      <c r="CA114" s="120">
        <f>'9. ODG.'!H133</f>
        <v>0</v>
      </c>
      <c r="CC114" s="120">
        <f>'10.KJ'!H133</f>
        <v>0</v>
      </c>
      <c r="CE114" s="120">
        <f>'11. OST.'!H133</f>
        <v>0</v>
      </c>
      <c r="CG114" s="120">
        <f>'12. NZZ'!H133</f>
        <v>0</v>
      </c>
      <c r="CI114" s="120">
        <f>'13. ukupno'!H133</f>
        <v>0</v>
      </c>
      <c r="CJ114" s="124">
        <f>CI114-CE114-CC114-CA114-BY114-BW114-BU114-BS114-BQ114-BM114-BK114</f>
        <v>0</v>
      </c>
      <c r="CK114" s="124">
        <f>CI114-CG114-BO114</f>
        <v>0</v>
      </c>
    </row>
    <row r="115" spans="31:89" ht="25.5">
      <c r="AE115" s="124"/>
      <c r="AG115" s="39" t="s">
        <v>277</v>
      </c>
      <c r="AH115" s="256">
        <v>1111</v>
      </c>
      <c r="AI115" s="220">
        <f>'1. OŽ'!G134</f>
        <v>0</v>
      </c>
      <c r="AK115" s="220">
        <f>'2. ŽO osim OŽ'!G134</f>
        <v>0</v>
      </c>
      <c r="AM115" s="220">
        <f>'3. ŽO zbirno'!G134</f>
        <v>0</v>
      </c>
      <c r="AO115" s="220">
        <f>'4. N i DZ'!G134</f>
        <v>0</v>
      </c>
      <c r="AQ115" s="220">
        <f>'5. MV'!G134</f>
        <v>0</v>
      </c>
      <c r="AS115" s="220">
        <f>'6. PO i TR'!G134</f>
        <v>0</v>
      </c>
      <c r="AU115" s="220">
        <f>'7. VAZ'!G134</f>
        <v>0</v>
      </c>
      <c r="AW115" s="220">
        <f>'8. IMOV'!G134</f>
        <v>0</v>
      </c>
      <c r="AY115" s="220">
        <f>'9. ODG.'!G134</f>
        <v>0</v>
      </c>
      <c r="BA115" s="220">
        <f>'10.KJ'!G134</f>
        <v>0</v>
      </c>
      <c r="BC115" s="220">
        <f>'11. OST.'!G134</f>
        <v>0</v>
      </c>
      <c r="BE115" s="220">
        <f>'12. NZZ'!G134</f>
        <v>0</v>
      </c>
      <c r="BG115" s="220">
        <f>'13. ukupno'!G134</f>
        <v>0</v>
      </c>
      <c r="BH115" s="124">
        <f t="shared" si="18"/>
        <v>0</v>
      </c>
      <c r="BI115" s="124">
        <f t="shared" si="19"/>
        <v>0</v>
      </c>
      <c r="BJ115" s="124">
        <f t="shared" si="20"/>
        <v>0</v>
      </c>
      <c r="BK115" s="120">
        <f>'1. OŽ'!H134</f>
        <v>0</v>
      </c>
      <c r="BM115" s="120">
        <f>'2. ŽO osim OŽ'!H134</f>
        <v>0</v>
      </c>
      <c r="BO115" s="120">
        <f>'3. ŽO zbirno'!H134</f>
        <v>0</v>
      </c>
      <c r="BQ115" s="120">
        <f>'4. N i DZ'!H134</f>
        <v>0</v>
      </c>
      <c r="BS115" s="120">
        <f>'5. MV'!H134</f>
        <v>0</v>
      </c>
      <c r="BU115" s="120">
        <f>'6. PO i TR'!H134</f>
        <v>0</v>
      </c>
      <c r="BW115" s="120">
        <f>'7. VAZ'!H134</f>
        <v>0</v>
      </c>
      <c r="BY115" s="120">
        <f>'8. IMOV'!H134</f>
        <v>0</v>
      </c>
      <c r="CA115" s="120">
        <f>'9. ODG.'!H134</f>
        <v>0</v>
      </c>
      <c r="CC115" s="120">
        <f>'10.KJ'!H134</f>
        <v>0</v>
      </c>
      <c r="CE115" s="120">
        <f>'11. OST.'!H134</f>
        <v>0</v>
      </c>
      <c r="CG115" s="120">
        <f>'12. NZZ'!H134</f>
        <v>0</v>
      </c>
      <c r="CI115" s="120">
        <f>'13. ukupno'!H134</f>
        <v>0</v>
      </c>
      <c r="CJ115" s="124">
        <f>CI115-CE115-CC115-CA115-BY115-BW115-BU115-BS115-BQ115-BM115-BK115</f>
        <v>0</v>
      </c>
      <c r="CK115" s="124">
        <f>CI115-CG115-BO115</f>
        <v>0</v>
      </c>
    </row>
    <row r="116" spans="31:89" ht="22.5">
      <c r="AG116" s="119" t="s">
        <v>277</v>
      </c>
    </row>
  </sheetData>
  <mergeCells count="2">
    <mergeCell ref="AI1:BG1"/>
    <mergeCell ref="BK1:CI1"/>
  </mergeCells>
  <pageMargins left="0" right="0" top="0.39370078740157483" bottom="0.39370078740157483" header="0.19685039370078741" footer="0.19685039370078741"/>
  <pageSetup paperSize="9" scale="84" orientation="landscape" r:id="rId1"/>
  <headerFooter alignWithMargins="0"/>
  <rowBreaks count="2" manualBreakCount="2">
    <brk id="25" max="90" man="1"/>
    <brk id="50" max="90" man="1"/>
  </rowBreaks>
  <colBreaks count="1" manualBreakCount="1">
    <brk id="5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27"/>
  <sheetViews>
    <sheetView topLeftCell="A9" workbookViewId="0">
      <selection activeCell="G81" sqref="G1:G1048576"/>
    </sheetView>
  </sheetViews>
  <sheetFormatPr defaultRowHeight="12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259" customWidth="1"/>
    <col min="8" max="8" width="11.85546875" style="5" customWidth="1"/>
    <col min="9" max="10" width="9.140625" style="5"/>
    <col min="11" max="11" width="10.5703125" style="5" customWidth="1"/>
    <col min="12" max="12" width="11.7109375" style="5" customWidth="1"/>
    <col min="13" max="16384" width="9.140625" style="5"/>
  </cols>
  <sheetData>
    <row r="1" spans="1:8" ht="16.5" customHeight="1">
      <c r="A1" s="1"/>
      <c r="B1" s="2"/>
      <c r="C1" s="3"/>
      <c r="D1" s="4"/>
      <c r="E1" s="4"/>
      <c r="F1" s="4"/>
    </row>
    <row r="2" spans="1:8" ht="14.25">
      <c r="A2" s="319"/>
      <c r="B2" s="319"/>
      <c r="C2" s="319"/>
      <c r="D2" s="319"/>
      <c r="E2" s="4"/>
      <c r="F2" s="4"/>
    </row>
    <row r="3" spans="1:8" ht="13.5" customHeight="1">
      <c r="A3" s="319"/>
      <c r="B3" s="319"/>
      <c r="C3" s="319"/>
      <c r="D3" s="319"/>
      <c r="E3" s="4"/>
      <c r="F3" s="4"/>
    </row>
    <row r="4" spans="1:8" ht="15" customHeight="1">
      <c r="A4" s="319"/>
      <c r="B4" s="319"/>
      <c r="C4" s="319"/>
      <c r="D4" s="319"/>
      <c r="E4" s="4"/>
      <c r="F4" s="4"/>
    </row>
    <row r="5" spans="1:8" ht="16.5" customHeight="1">
      <c r="A5" s="319"/>
      <c r="B5" s="319"/>
      <c r="C5" s="319"/>
      <c r="D5" s="319"/>
      <c r="E5" s="4"/>
      <c r="F5" s="4"/>
    </row>
    <row r="6" spans="1:8" ht="14.25">
      <c r="A6" s="319"/>
      <c r="B6" s="319"/>
      <c r="C6" s="319"/>
      <c r="D6" s="319"/>
      <c r="E6" s="4"/>
      <c r="F6" s="4"/>
    </row>
    <row r="7" spans="1:8" ht="13.5" customHeight="1">
      <c r="A7" s="1"/>
      <c r="B7" s="2"/>
      <c r="C7" s="3"/>
      <c r="D7" s="4"/>
      <c r="E7" s="4"/>
      <c r="F7" s="4"/>
    </row>
    <row r="8" spans="1:8" ht="13.5" customHeight="1">
      <c r="A8" s="1"/>
      <c r="B8" s="2"/>
      <c r="C8" s="3"/>
      <c r="D8" s="4"/>
      <c r="E8" s="4"/>
      <c r="F8" s="4"/>
    </row>
    <row r="9" spans="1:8" ht="13.5" customHeight="1">
      <c r="A9" s="1"/>
      <c r="B9" s="2"/>
      <c r="C9" s="3"/>
      <c r="D9" s="4"/>
      <c r="E9" s="4"/>
      <c r="F9" s="4"/>
    </row>
    <row r="10" spans="1:8">
      <c r="A10" s="1"/>
      <c r="B10" s="2"/>
      <c r="C10" s="3"/>
      <c r="D10" s="4"/>
      <c r="E10" s="4"/>
      <c r="F10" s="4"/>
    </row>
    <row r="11" spans="1:8" s="7" customFormat="1" ht="13.5" customHeight="1">
      <c r="A11" s="318"/>
      <c r="B11" s="318"/>
      <c r="C11" s="318"/>
      <c r="D11" s="318"/>
      <c r="E11" s="318"/>
      <c r="F11" s="318"/>
      <c r="G11" s="318"/>
    </row>
    <row r="12" spans="1:8" s="7" customFormat="1" ht="13.5" customHeight="1">
      <c r="A12" s="318"/>
      <c r="B12" s="318"/>
      <c r="C12" s="318"/>
      <c r="D12" s="318"/>
      <c r="E12" s="4"/>
      <c r="F12" s="4"/>
      <c r="G12" s="272"/>
    </row>
    <row r="13" spans="1:8" s="7" customFormat="1" ht="24" customHeight="1">
      <c r="A13" s="1"/>
      <c r="B13" s="2"/>
      <c r="C13" s="3"/>
      <c r="D13" s="4"/>
      <c r="E13" s="4"/>
      <c r="F13" s="4"/>
      <c r="G13" s="272"/>
      <c r="H13" s="9"/>
    </row>
    <row r="14" spans="1:8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</row>
    <row r="15" spans="1:8" s="7" customFormat="1" ht="3.75" customHeight="1">
      <c r="A15" s="326"/>
      <c r="B15" s="326"/>
      <c r="C15" s="326"/>
      <c r="D15" s="326"/>
      <c r="E15" s="326"/>
      <c r="F15" s="326"/>
      <c r="G15" s="326"/>
      <c r="H15" s="326"/>
    </row>
    <row r="16" spans="1:8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</row>
    <row r="17" spans="1:12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</row>
    <row r="18" spans="1:12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</row>
    <row r="19" spans="1:12" s="7" customFormat="1" ht="37.5" customHeight="1">
      <c r="A19" s="336"/>
      <c r="B19" s="336"/>
      <c r="C19" s="336"/>
      <c r="D19" s="336"/>
      <c r="E19" s="337"/>
      <c r="F19" s="338"/>
      <c r="G19" s="285" t="s">
        <v>4</v>
      </c>
      <c r="H19" s="224" t="s">
        <v>5</v>
      </c>
    </row>
    <row r="20" spans="1:12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286">
        <v>5</v>
      </c>
      <c r="H20" s="225">
        <v>6</v>
      </c>
    </row>
    <row r="21" spans="1:12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75"/>
      <c r="H21" s="23"/>
    </row>
    <row r="22" spans="1:12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41">
        <f>G23+G30+G35+G36</f>
        <v>96884</v>
      </c>
      <c r="H22" s="41"/>
      <c r="I22" s="32"/>
      <c r="K22" s="32"/>
    </row>
    <row r="23" spans="1:12" ht="25.5" customHeight="1">
      <c r="A23" s="29"/>
      <c r="B23" s="35"/>
      <c r="C23" s="35"/>
      <c r="D23" s="28" t="s">
        <v>292</v>
      </c>
      <c r="E23" s="29" t="s">
        <v>107</v>
      </c>
      <c r="F23" s="36"/>
      <c r="G23" s="83">
        <f>G24+G25-G26-G27-G28+G29</f>
        <v>96884</v>
      </c>
      <c r="H23" s="83"/>
      <c r="I23" s="32"/>
      <c r="K23" s="32"/>
      <c r="L23" s="38"/>
    </row>
    <row r="24" spans="1:12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189">
        <f>96884+149</f>
        <v>97033</v>
      </c>
      <c r="H24" s="189"/>
      <c r="I24" s="32"/>
      <c r="K24" s="32"/>
    </row>
    <row r="25" spans="1:12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189">
        <v>0</v>
      </c>
      <c r="H25" s="189"/>
      <c r="I25" s="32"/>
      <c r="K25" s="32"/>
    </row>
    <row r="26" spans="1:12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189">
        <v>0</v>
      </c>
      <c r="H26" s="189"/>
      <c r="I26" s="32"/>
      <c r="K26" s="32"/>
      <c r="L26" s="38"/>
    </row>
    <row r="27" spans="1:12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189">
        <v>0</v>
      </c>
      <c r="H27" s="189"/>
      <c r="I27" s="32"/>
      <c r="K27" s="32"/>
    </row>
    <row r="28" spans="1:12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189">
        <v>149</v>
      </c>
      <c r="H28" s="189"/>
      <c r="I28" s="32"/>
      <c r="K28" s="32"/>
    </row>
    <row r="29" spans="1:12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189">
        <v>0</v>
      </c>
      <c r="H29" s="189"/>
      <c r="I29" s="32"/>
      <c r="K29" s="32"/>
    </row>
    <row r="30" spans="1:12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f>G31-G32-G33+G34</f>
        <v>0</v>
      </c>
      <c r="H30" s="83"/>
      <c r="I30" s="32"/>
      <c r="K30" s="32"/>
    </row>
    <row r="31" spans="1:12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189">
        <v>0</v>
      </c>
      <c r="H31" s="189"/>
      <c r="I31" s="32"/>
      <c r="K31" s="32"/>
    </row>
    <row r="32" spans="1:12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189">
        <v>0</v>
      </c>
      <c r="H32" s="189"/>
      <c r="I32" s="32"/>
      <c r="K32" s="32"/>
    </row>
    <row r="33" spans="1:11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189">
        <v>0</v>
      </c>
      <c r="H33" s="189"/>
      <c r="I33" s="32"/>
      <c r="K33" s="32"/>
    </row>
    <row r="34" spans="1:11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189">
        <v>0</v>
      </c>
      <c r="H34" s="189"/>
      <c r="I34" s="32"/>
      <c r="K34" s="32"/>
    </row>
    <row r="35" spans="1:11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3">
        <v>0</v>
      </c>
      <c r="H35" s="83"/>
      <c r="I35" s="32"/>
      <c r="K35" s="32"/>
    </row>
    <row r="36" spans="1:11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3">
        <v>0</v>
      </c>
      <c r="H36" s="83"/>
      <c r="I36" s="32"/>
      <c r="K36" s="32"/>
    </row>
    <row r="37" spans="1:11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41">
        <f>G38+G47+G55-G56-G65+G66-G67+G68+G69</f>
        <v>34460</v>
      </c>
      <c r="H37" s="41"/>
      <c r="I37" s="32"/>
      <c r="K37" s="32"/>
    </row>
    <row r="38" spans="1:11" ht="32.25" customHeight="1">
      <c r="A38" s="29"/>
      <c r="B38" s="35"/>
      <c r="C38" s="35"/>
      <c r="D38" s="28" t="s">
        <v>295</v>
      </c>
      <c r="E38" s="29" t="s">
        <v>128</v>
      </c>
      <c r="F38" s="36"/>
      <c r="G38" s="83">
        <f>G39+G40+G41+G42+G43+G44+G45+G46</f>
        <v>0</v>
      </c>
      <c r="H38" s="83"/>
      <c r="I38" s="32"/>
      <c r="K38" s="32"/>
    </row>
    <row r="39" spans="1:11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189">
        <v>0</v>
      </c>
      <c r="H39" s="189"/>
      <c r="I39" s="32"/>
      <c r="K39" s="32"/>
    </row>
    <row r="40" spans="1:11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189">
        <v>0</v>
      </c>
      <c r="H40" s="189"/>
      <c r="I40" s="32"/>
      <c r="K40" s="32"/>
    </row>
    <row r="41" spans="1:11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189">
        <v>0</v>
      </c>
      <c r="H41" s="189"/>
      <c r="I41" s="32"/>
      <c r="K41" s="32"/>
    </row>
    <row r="42" spans="1:11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189">
        <v>0</v>
      </c>
      <c r="H42" s="189"/>
      <c r="I42" s="32"/>
      <c r="K42" s="32"/>
    </row>
    <row r="43" spans="1:11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189">
        <v>0</v>
      </c>
      <c r="H43" s="189"/>
      <c r="I43" s="32"/>
      <c r="K43" s="32"/>
    </row>
    <row r="44" spans="1:11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189">
        <v>0</v>
      </c>
      <c r="H44" s="189"/>
      <c r="I44" s="32"/>
      <c r="K44" s="32"/>
    </row>
    <row r="45" spans="1:11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189">
        <v>0</v>
      </c>
      <c r="H45" s="189"/>
      <c r="I45" s="32"/>
      <c r="K45" s="32"/>
    </row>
    <row r="46" spans="1:11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189">
        <v>0</v>
      </c>
      <c r="H46" s="189"/>
      <c r="I46" s="32"/>
      <c r="K46" s="32"/>
    </row>
    <row r="47" spans="1:11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35064</v>
      </c>
      <c r="H47" s="83"/>
      <c r="I47" s="32"/>
      <c r="K47" s="32"/>
    </row>
    <row r="48" spans="1:11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189">
        <v>35063</v>
      </c>
      <c r="H48" s="189"/>
      <c r="I48" s="32"/>
      <c r="K48" s="32"/>
    </row>
    <row r="49" spans="1:11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189">
        <v>0</v>
      </c>
      <c r="H49" s="189"/>
      <c r="I49" s="32"/>
      <c r="K49" s="32"/>
    </row>
    <row r="50" spans="1:11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189">
        <v>0</v>
      </c>
      <c r="H50" s="189"/>
      <c r="I50" s="32"/>
      <c r="K50" s="32"/>
    </row>
    <row r="51" spans="1:11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189">
        <v>0</v>
      </c>
      <c r="H51" s="189"/>
      <c r="I51" s="32"/>
      <c r="K51" s="32"/>
    </row>
    <row r="52" spans="1:11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189">
        <v>1</v>
      </c>
      <c r="H52" s="189"/>
      <c r="I52" s="32"/>
      <c r="K52" s="32"/>
    </row>
    <row r="53" spans="1:11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189">
        <v>0</v>
      </c>
      <c r="H53" s="189"/>
      <c r="I53" s="32"/>
      <c r="K53" s="32"/>
    </row>
    <row r="54" spans="1:11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189">
        <v>0</v>
      </c>
      <c r="H54" s="189"/>
      <c r="I54" s="32"/>
      <c r="K54" s="32"/>
    </row>
    <row r="55" spans="1:11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0</v>
      </c>
      <c r="H55" s="83"/>
      <c r="I55" s="32"/>
      <c r="K55" s="32"/>
    </row>
    <row r="56" spans="1:11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604</v>
      </c>
      <c r="H56" s="190"/>
      <c r="I56" s="32"/>
      <c r="K56" s="32"/>
    </row>
    <row r="57" spans="1:11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189">
        <f>4326+1</f>
        <v>4327</v>
      </c>
      <c r="H57" s="189"/>
      <c r="I57" s="32"/>
      <c r="K57" s="32"/>
    </row>
    <row r="58" spans="1:11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189">
        <v>4931</v>
      </c>
      <c r="H58" s="189"/>
      <c r="I58" s="32"/>
      <c r="K58" s="32"/>
    </row>
    <row r="59" spans="1:11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189">
        <v>0</v>
      </c>
      <c r="H59" s="189"/>
      <c r="I59" s="32"/>
      <c r="K59" s="32"/>
    </row>
    <row r="60" spans="1:11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189">
        <v>0</v>
      </c>
      <c r="H60" s="189"/>
      <c r="I60" s="32"/>
      <c r="K60" s="32"/>
    </row>
    <row r="61" spans="1:11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189">
        <v>0</v>
      </c>
      <c r="H61" s="189"/>
      <c r="I61" s="32"/>
      <c r="K61" s="32"/>
    </row>
    <row r="62" spans="1:11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189">
        <v>0</v>
      </c>
      <c r="H62" s="189"/>
      <c r="I62" s="32"/>
      <c r="K62" s="32"/>
    </row>
    <row r="63" spans="1:11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189">
        <v>0</v>
      </c>
      <c r="H63" s="189"/>
      <c r="I63" s="32"/>
      <c r="K63" s="32"/>
    </row>
    <row r="64" spans="1:11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189">
        <v>0</v>
      </c>
      <c r="H64" s="189"/>
      <c r="I64" s="32"/>
      <c r="K64" s="32"/>
    </row>
    <row r="65" spans="1:11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3">
        <v>0</v>
      </c>
      <c r="H65" s="83"/>
      <c r="I65" s="32"/>
      <c r="K65" s="32"/>
    </row>
    <row r="66" spans="1:11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3">
        <v>0</v>
      </c>
      <c r="H66" s="83"/>
      <c r="I66" s="32"/>
      <c r="K66" s="32"/>
    </row>
    <row r="67" spans="1:11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3">
        <v>0</v>
      </c>
      <c r="H67" s="83"/>
      <c r="I67" s="32"/>
      <c r="K67" s="32"/>
    </row>
    <row r="68" spans="1:11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3">
        <v>0</v>
      </c>
      <c r="H68" s="83"/>
      <c r="I68" s="32"/>
      <c r="K68" s="32"/>
    </row>
    <row r="69" spans="1:11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3">
        <v>0</v>
      </c>
      <c r="H69" s="83"/>
      <c r="I69" s="32"/>
      <c r="K69" s="32"/>
    </row>
    <row r="70" spans="1:11" ht="13.5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62424</v>
      </c>
      <c r="H70" s="41"/>
      <c r="I70" s="32"/>
      <c r="K70" s="32"/>
    </row>
    <row r="71" spans="1:11" ht="13.5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41"/>
      <c r="I71" s="32"/>
      <c r="K71" s="32"/>
    </row>
    <row r="72" spans="1:11" ht="25.5">
      <c r="A72" s="26"/>
      <c r="B72" s="27" t="s">
        <v>56</v>
      </c>
      <c r="C72" s="27"/>
      <c r="D72" s="42" t="s">
        <v>301</v>
      </c>
      <c r="E72" s="29"/>
      <c r="F72" s="30"/>
      <c r="G72" s="41"/>
      <c r="H72" s="41"/>
      <c r="I72" s="32"/>
      <c r="K72" s="32"/>
    </row>
    <row r="73" spans="1:11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18315</v>
      </c>
      <c r="H73" s="41"/>
      <c r="I73" s="32"/>
      <c r="K73" s="32"/>
    </row>
    <row r="74" spans="1:11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108">
        <v>32</v>
      </c>
      <c r="H74" s="189"/>
      <c r="I74" s="32"/>
      <c r="K74" s="32"/>
    </row>
    <row r="75" spans="1:11" ht="15.75" customHeight="1">
      <c r="A75" s="26"/>
      <c r="B75" s="27"/>
      <c r="C75" s="27"/>
      <c r="D75" s="39" t="s">
        <v>188</v>
      </c>
      <c r="E75" s="29" t="s">
        <v>190</v>
      </c>
      <c r="F75" s="30"/>
      <c r="G75" s="108">
        <f>G76+G77+G78</f>
        <v>1547</v>
      </c>
      <c r="H75" s="93"/>
      <c r="I75" s="32"/>
      <c r="K75" s="32"/>
    </row>
    <row r="76" spans="1:11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108">
        <v>483</v>
      </c>
      <c r="H76" s="189"/>
      <c r="I76" s="32"/>
      <c r="K76" s="32"/>
    </row>
    <row r="77" spans="1:11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108">
        <v>1060</v>
      </c>
      <c r="H77" s="189"/>
      <c r="I77" s="32"/>
      <c r="K77" s="32"/>
    </row>
    <row r="78" spans="1:11" ht="13.5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108">
        <v>4</v>
      </c>
      <c r="H78" s="189"/>
      <c r="I78" s="32"/>
      <c r="K78" s="32"/>
    </row>
    <row r="79" spans="1:11" ht="13.5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108">
        <v>4124</v>
      </c>
      <c r="H79" s="189"/>
      <c r="I79" s="32"/>
      <c r="K79" s="32"/>
    </row>
    <row r="80" spans="1:11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108">
        <v>6575</v>
      </c>
      <c r="H80" s="189"/>
      <c r="I80" s="32"/>
      <c r="K80" s="32"/>
    </row>
    <row r="81" spans="1:11" ht="13.5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108">
        <v>13</v>
      </c>
      <c r="H81" s="189"/>
      <c r="I81" s="32"/>
      <c r="K81" s="32"/>
    </row>
    <row r="82" spans="1:11" ht="13.5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108">
        <v>5438</v>
      </c>
      <c r="H82" s="189"/>
      <c r="I82" s="32"/>
      <c r="K82" s="32"/>
    </row>
    <row r="83" spans="1:11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108">
        <v>586</v>
      </c>
      <c r="H83" s="189"/>
      <c r="I83" s="32"/>
      <c r="K83" s="32"/>
    </row>
    <row r="84" spans="1:11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11625</v>
      </c>
      <c r="H84" s="41"/>
      <c r="I84" s="32"/>
      <c r="K84" s="32"/>
    </row>
    <row r="85" spans="1:11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189">
        <v>0</v>
      </c>
      <c r="H85" s="189"/>
      <c r="I85" s="32"/>
      <c r="K85" s="32"/>
    </row>
    <row r="86" spans="1:11" ht="13.5">
      <c r="A86" s="26"/>
      <c r="B86" s="35"/>
      <c r="C86" s="35"/>
      <c r="D86" s="39" t="s">
        <v>304</v>
      </c>
      <c r="E86" s="29" t="s">
        <v>218</v>
      </c>
      <c r="F86" s="30"/>
      <c r="G86" s="189">
        <v>3202</v>
      </c>
      <c r="H86" s="189"/>
      <c r="I86" s="32"/>
      <c r="K86" s="32"/>
    </row>
    <row r="87" spans="1:11" ht="13.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189">
        <v>3202</v>
      </c>
      <c r="H87" s="189"/>
      <c r="I87" s="32"/>
      <c r="K87" s="32"/>
    </row>
    <row r="88" spans="1:11" ht="13.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189">
        <v>0</v>
      </c>
      <c r="H88" s="189"/>
      <c r="I88" s="32"/>
      <c r="K88" s="32"/>
    </row>
    <row r="89" spans="1:11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189">
        <v>373</v>
      </c>
      <c r="H89" s="189"/>
      <c r="I89" s="32"/>
      <c r="K89" s="32"/>
    </row>
    <row r="90" spans="1:11" ht="13.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189">
        <f>6-6</f>
        <v>0</v>
      </c>
      <c r="H90" s="189"/>
      <c r="I90" s="32"/>
      <c r="K90" s="32"/>
    </row>
    <row r="91" spans="1:11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189">
        <v>8050</v>
      </c>
      <c r="H91" s="189"/>
      <c r="I91" s="32"/>
      <c r="K91" s="32"/>
    </row>
    <row r="92" spans="1:11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189">
        <v>0</v>
      </c>
      <c r="H92" s="189"/>
      <c r="I92" s="32"/>
      <c r="K92" s="32"/>
    </row>
    <row r="93" spans="1:11" ht="13.5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6690</v>
      </c>
      <c r="H93" s="41"/>
      <c r="I93" s="32"/>
      <c r="K93" s="32"/>
    </row>
    <row r="94" spans="1:11" ht="13.5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41"/>
      <c r="I94" s="32"/>
      <c r="K94" s="32"/>
    </row>
    <row r="95" spans="1:11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32105</v>
      </c>
      <c r="H95" s="41"/>
      <c r="I95" s="32"/>
      <c r="K95" s="32"/>
    </row>
    <row r="96" spans="1:11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28246</v>
      </c>
      <c r="H96" s="83"/>
      <c r="I96" s="32"/>
      <c r="K96" s="32"/>
    </row>
    <row r="97" spans="1:11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v>7</v>
      </c>
      <c r="H97" s="189"/>
      <c r="I97" s="32"/>
      <c r="K97" s="32"/>
    </row>
    <row r="98" spans="1:11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v>28239</v>
      </c>
      <c r="H98" s="189"/>
      <c r="I98" s="32"/>
      <c r="K98" s="32"/>
    </row>
    <row r="99" spans="1:11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v>0</v>
      </c>
      <c r="H99" s="189"/>
      <c r="I99" s="32"/>
      <c r="K99" s="32"/>
    </row>
    <row r="100" spans="1:11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v>0</v>
      </c>
      <c r="H100" s="189"/>
      <c r="I100" s="32"/>
      <c r="K100" s="32"/>
    </row>
    <row r="101" spans="1:11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3564</v>
      </c>
      <c r="H101" s="83"/>
      <c r="I101" s="32"/>
      <c r="K101" s="32"/>
    </row>
    <row r="102" spans="1:11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189">
        <v>2143</v>
      </c>
      <c r="H102" s="189"/>
      <c r="I102" s="32"/>
      <c r="K102" s="32"/>
    </row>
    <row r="103" spans="1:11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189">
        <v>551</v>
      </c>
      <c r="H103" s="189"/>
      <c r="I103" s="32"/>
      <c r="K103" s="32"/>
    </row>
    <row r="104" spans="1:11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189">
        <v>0</v>
      </c>
      <c r="H104" s="189"/>
      <c r="I104" s="32"/>
      <c r="K104" s="32"/>
    </row>
    <row r="105" spans="1:11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189">
        <v>870</v>
      </c>
      <c r="H105" s="189"/>
      <c r="I105" s="32"/>
      <c r="K105" s="32"/>
    </row>
    <row r="106" spans="1:11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3">
        <v>295</v>
      </c>
      <c r="H106" s="83"/>
      <c r="I106" s="32"/>
      <c r="K106" s="32"/>
    </row>
    <row r="107" spans="1:11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3">
        <v>0</v>
      </c>
      <c r="H107" s="83"/>
      <c r="I107" s="32"/>
      <c r="K107" s="32"/>
    </row>
    <row r="108" spans="1:11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37009</v>
      </c>
      <c r="H108" s="191"/>
      <c r="I108" s="32"/>
      <c r="K108" s="32"/>
    </row>
    <row r="109" spans="1:11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0</v>
      </c>
      <c r="H109" s="191"/>
      <c r="I109" s="32"/>
      <c r="K109" s="32"/>
    </row>
    <row r="110" spans="1:11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3">
        <v>2517</v>
      </c>
      <c r="H110" s="83"/>
      <c r="I110" s="32"/>
      <c r="K110" s="32"/>
    </row>
    <row r="111" spans="1:11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3">
        <v>928</v>
      </c>
      <c r="H111" s="83"/>
      <c r="I111" s="32"/>
      <c r="K111" s="32"/>
    </row>
    <row r="112" spans="1:11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3">
        <v>151</v>
      </c>
      <c r="H112" s="83"/>
      <c r="I112" s="32"/>
      <c r="K112" s="32"/>
    </row>
    <row r="113" spans="1:12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3">
        <v>4391</v>
      </c>
      <c r="H113" s="83"/>
      <c r="I113" s="32"/>
      <c r="K113" s="32"/>
    </row>
    <row r="114" spans="1:12" ht="13.5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3">
        <v>140</v>
      </c>
      <c r="H114" s="83"/>
      <c r="I114" s="32"/>
      <c r="K114" s="32"/>
    </row>
    <row r="115" spans="1:12" ht="13.5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3">
        <f>46+1</f>
        <v>47</v>
      </c>
      <c r="H115" s="83"/>
      <c r="I115" s="32"/>
      <c r="K115" s="32"/>
    </row>
    <row r="116" spans="1:12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34451</v>
      </c>
      <c r="H116" s="191"/>
      <c r="I116" s="32"/>
      <c r="K116" s="32"/>
    </row>
    <row r="117" spans="1:12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0</v>
      </c>
      <c r="H117" s="41"/>
      <c r="I117" s="32"/>
      <c r="K117" s="32"/>
    </row>
    <row r="118" spans="1:12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3">
        <v>5</v>
      </c>
      <c r="H118" s="83"/>
      <c r="I118" s="32"/>
      <c r="K118" s="32"/>
    </row>
    <row r="119" spans="1:12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3">
        <v>0</v>
      </c>
      <c r="H119" s="83"/>
      <c r="I119" s="32"/>
      <c r="K119" s="32"/>
    </row>
    <row r="120" spans="1:12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3">
        <f>IF((G116+G118-G117-G119)&gt;0,(G116+G118-G117-G119),0)</f>
        <v>34456</v>
      </c>
      <c r="H120" s="83"/>
      <c r="I120" s="32"/>
      <c r="K120" s="92"/>
      <c r="L120" s="92"/>
    </row>
    <row r="121" spans="1:12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3">
        <f>IF((G116+G118-G117-G119)&lt;0,-(G116+G118-G117-G119),0)</f>
        <v>0</v>
      </c>
      <c r="H121" s="83"/>
      <c r="I121" s="32"/>
      <c r="K121" s="92"/>
      <c r="L121" s="92"/>
    </row>
    <row r="122" spans="1:12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189"/>
      <c r="H122" s="189"/>
      <c r="I122" s="32"/>
      <c r="K122" s="92"/>
      <c r="L122" s="92"/>
    </row>
    <row r="123" spans="1:12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189">
        <v>0</v>
      </c>
      <c r="H123" s="189"/>
      <c r="I123" s="32"/>
      <c r="K123" s="92"/>
      <c r="L123" s="92"/>
    </row>
    <row r="124" spans="1:12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189">
        <v>0</v>
      </c>
      <c r="H124" s="189"/>
      <c r="I124" s="32"/>
      <c r="K124" s="92"/>
      <c r="L124" s="92"/>
    </row>
    <row r="125" spans="1:12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189">
        <v>0</v>
      </c>
      <c r="H125" s="189"/>
      <c r="I125" s="32"/>
      <c r="K125" s="92"/>
      <c r="L125" s="92"/>
    </row>
    <row r="126" spans="1:12" ht="13.5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191">
        <f>IF((G120-G121-G123+G124-G125)&gt;0,G120-G121-G123+G124-G125,"0")</f>
        <v>34456</v>
      </c>
      <c r="H126" s="191"/>
      <c r="I126" s="32"/>
      <c r="K126" s="92"/>
      <c r="L126" s="92"/>
    </row>
    <row r="127" spans="1:12" ht="13.5">
      <c r="A127" s="29"/>
      <c r="B127" s="27"/>
      <c r="C127" s="27"/>
      <c r="D127" s="53" t="s">
        <v>272</v>
      </c>
      <c r="E127" s="29" t="s">
        <v>284</v>
      </c>
      <c r="F127" s="30"/>
      <c r="G127" s="41"/>
      <c r="H127" s="41"/>
      <c r="I127" s="32"/>
      <c r="K127" s="92"/>
      <c r="L127" s="92"/>
    </row>
    <row r="128" spans="1:12" ht="13.5">
      <c r="A128" s="29"/>
      <c r="B128" s="27"/>
      <c r="C128" s="27"/>
      <c r="D128" s="53" t="s">
        <v>273</v>
      </c>
      <c r="E128" s="29" t="s">
        <v>285</v>
      </c>
      <c r="F128" s="30"/>
      <c r="G128" s="41"/>
      <c r="H128" s="41"/>
      <c r="I128" s="32"/>
      <c r="K128" s="32"/>
    </row>
    <row r="129" spans="1:11" ht="13.5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 t="s">
        <v>330</v>
      </c>
      <c r="H129" s="191"/>
      <c r="I129" s="32"/>
      <c r="K129" s="32"/>
    </row>
    <row r="130" spans="1:11" ht="13.5">
      <c r="A130" s="29"/>
      <c r="B130" s="27"/>
      <c r="C130" s="27"/>
      <c r="D130" s="39" t="s">
        <v>274</v>
      </c>
      <c r="E130" s="29" t="s">
        <v>287</v>
      </c>
      <c r="F130" s="30"/>
      <c r="G130" s="189"/>
      <c r="H130" s="189"/>
      <c r="I130" s="32"/>
      <c r="K130" s="32"/>
    </row>
    <row r="131" spans="1:11" ht="13.5">
      <c r="A131" s="29"/>
      <c r="B131" s="27"/>
      <c r="C131" s="27"/>
      <c r="D131" s="39" t="s">
        <v>275</v>
      </c>
      <c r="E131" s="29" t="s">
        <v>288</v>
      </c>
      <c r="F131" s="30"/>
      <c r="G131" s="189"/>
      <c r="H131" s="189"/>
      <c r="I131" s="32"/>
      <c r="K131" s="32"/>
    </row>
    <row r="132" spans="1:11" ht="13.5">
      <c r="A132" s="29"/>
      <c r="B132" s="27" t="s">
        <v>93</v>
      </c>
      <c r="C132" s="27"/>
      <c r="D132" s="28" t="s">
        <v>94</v>
      </c>
      <c r="E132" s="29"/>
      <c r="F132" s="30"/>
      <c r="G132" s="189"/>
      <c r="H132" s="189"/>
      <c r="I132" s="32"/>
      <c r="K132" s="32"/>
    </row>
    <row r="133" spans="1:11" ht="13.5">
      <c r="A133" s="29"/>
      <c r="B133" s="27"/>
      <c r="C133" s="27"/>
      <c r="D133" s="39" t="s">
        <v>276</v>
      </c>
      <c r="E133" s="29" t="s">
        <v>289</v>
      </c>
      <c r="F133" s="30"/>
      <c r="G133" s="189"/>
      <c r="H133" s="189"/>
      <c r="I133" s="32"/>
      <c r="K133" s="32"/>
    </row>
    <row r="134" spans="1:11" ht="25.5">
      <c r="A134" s="29"/>
      <c r="B134" s="27"/>
      <c r="C134" s="27"/>
      <c r="D134" s="39" t="s">
        <v>277</v>
      </c>
      <c r="E134" s="29" t="s">
        <v>290</v>
      </c>
      <c r="F134" s="30"/>
      <c r="G134" s="189"/>
      <c r="H134" s="189"/>
      <c r="I134" s="32"/>
      <c r="K134" s="32"/>
    </row>
    <row r="135" spans="1:11" ht="13.5" customHeight="1">
      <c r="H135" s="92"/>
      <c r="K135" s="32"/>
    </row>
    <row r="136" spans="1:11">
      <c r="K136" s="32"/>
    </row>
    <row r="137" spans="1:11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K137" s="32"/>
    </row>
    <row r="138" spans="1:11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K138" s="32"/>
    </row>
    <row r="139" spans="1:11">
      <c r="A139" s="1"/>
      <c r="B139" s="2"/>
      <c r="C139" s="58"/>
      <c r="D139" s="59"/>
      <c r="E139" s="60"/>
      <c r="F139" s="60"/>
      <c r="G139" s="276"/>
      <c r="H139" s="61"/>
      <c r="K139" s="32"/>
    </row>
    <row r="140" spans="1:11">
      <c r="A140" s="62"/>
      <c r="B140" s="63"/>
      <c r="C140" s="64"/>
      <c r="D140" s="64"/>
      <c r="E140" s="64"/>
      <c r="F140" s="64"/>
      <c r="G140" s="277"/>
      <c r="H140" s="65"/>
      <c r="K140" s="32"/>
    </row>
    <row r="141" spans="1:11">
      <c r="A141" s="1"/>
      <c r="B141" s="2"/>
      <c r="C141" s="58"/>
      <c r="D141" s="59"/>
      <c r="E141" s="60"/>
      <c r="F141" s="60"/>
      <c r="G141" s="278"/>
      <c r="H141" s="66"/>
      <c r="K141" s="32"/>
    </row>
    <row r="142" spans="1:11">
      <c r="A142" s="1"/>
      <c r="B142" s="2"/>
      <c r="C142" s="58"/>
      <c r="D142" s="59"/>
      <c r="E142" s="60"/>
      <c r="F142" s="60"/>
      <c r="G142" s="276"/>
      <c r="H142" s="61"/>
      <c r="K142" s="32"/>
    </row>
    <row r="143" spans="1:11">
      <c r="A143" s="1"/>
      <c r="B143" s="2"/>
      <c r="C143" s="58"/>
      <c r="D143" s="59"/>
      <c r="E143" s="60"/>
      <c r="F143" s="60"/>
      <c r="G143" s="276"/>
      <c r="H143" s="61"/>
      <c r="K143" s="32"/>
    </row>
    <row r="144" spans="1:11">
      <c r="A144" s="1"/>
      <c r="B144" s="2"/>
      <c r="C144" s="58"/>
      <c r="D144" s="59"/>
      <c r="E144" s="60"/>
      <c r="F144" s="60"/>
      <c r="G144" s="276"/>
      <c r="H144" s="61"/>
      <c r="K144" s="32"/>
    </row>
    <row r="145" spans="1:11">
      <c r="A145" s="1"/>
      <c r="B145" s="2"/>
      <c r="C145" s="58"/>
      <c r="D145" s="59"/>
      <c r="E145" s="60"/>
      <c r="F145" s="60"/>
      <c r="G145" s="276"/>
      <c r="H145" s="61"/>
      <c r="K145" s="32"/>
    </row>
    <row r="146" spans="1:11">
      <c r="A146" s="1"/>
      <c r="B146" s="2"/>
      <c r="C146" s="58"/>
      <c r="D146" s="59"/>
      <c r="E146" s="60"/>
      <c r="F146" s="60"/>
      <c r="G146" s="276"/>
      <c r="H146" s="61"/>
      <c r="K146" s="32"/>
    </row>
    <row r="147" spans="1:11">
      <c r="A147" s="1"/>
      <c r="B147" s="2"/>
      <c r="C147" s="58"/>
      <c r="D147" s="59"/>
      <c r="E147" s="60"/>
      <c r="F147" s="60"/>
      <c r="G147" s="276"/>
      <c r="H147" s="61"/>
      <c r="K147" s="32"/>
    </row>
    <row r="148" spans="1:11">
      <c r="A148" s="1"/>
      <c r="B148" s="2"/>
      <c r="C148" s="58"/>
      <c r="D148" s="59"/>
      <c r="E148" s="60"/>
      <c r="F148" s="60"/>
      <c r="G148" s="279"/>
      <c r="H148" s="61"/>
      <c r="K148" s="32"/>
    </row>
    <row r="149" spans="1:11">
      <c r="A149" s="1"/>
      <c r="B149" s="2"/>
      <c r="C149" s="58"/>
      <c r="D149" s="59"/>
      <c r="E149" s="60"/>
      <c r="F149" s="60"/>
      <c r="G149" s="276"/>
      <c r="H149" s="61"/>
      <c r="K149" s="32"/>
    </row>
    <row r="150" spans="1:11">
      <c r="A150" s="1"/>
      <c r="B150" s="2"/>
      <c r="C150" s="58"/>
      <c r="D150" s="59"/>
      <c r="E150" s="60"/>
      <c r="F150" s="60"/>
      <c r="G150" s="276"/>
      <c r="H150" s="61"/>
      <c r="K150" s="32"/>
    </row>
    <row r="151" spans="1:11">
      <c r="A151" s="1"/>
      <c r="B151" s="2"/>
      <c r="C151" s="58"/>
      <c r="D151" s="59"/>
      <c r="E151" s="60"/>
      <c r="F151" s="60"/>
      <c r="G151" s="276"/>
      <c r="H151" s="61"/>
      <c r="K151" s="32"/>
    </row>
    <row r="152" spans="1:11">
      <c r="A152" s="1"/>
      <c r="B152" s="2"/>
      <c r="C152" s="58"/>
      <c r="D152" s="59"/>
      <c r="E152" s="60"/>
      <c r="F152" s="60"/>
      <c r="G152" s="276"/>
      <c r="H152" s="61"/>
      <c r="K152" s="32"/>
    </row>
    <row r="153" spans="1:11">
      <c r="A153" s="1"/>
      <c r="B153" s="2"/>
      <c r="C153" s="58"/>
      <c r="D153" s="59"/>
      <c r="E153" s="60"/>
      <c r="F153" s="60"/>
      <c r="G153" s="276"/>
      <c r="H153" s="61"/>
      <c r="K153" s="32"/>
    </row>
    <row r="154" spans="1:11">
      <c r="A154" s="1"/>
      <c r="B154" s="2"/>
      <c r="C154" s="58"/>
      <c r="D154" s="59"/>
      <c r="E154" s="60"/>
      <c r="F154" s="60"/>
      <c r="G154" s="276"/>
      <c r="H154" s="61"/>
      <c r="K154" s="32"/>
    </row>
    <row r="155" spans="1:11">
      <c r="A155" s="1"/>
      <c r="B155" s="2"/>
      <c r="C155" s="58"/>
      <c r="D155" s="59"/>
      <c r="E155" s="60"/>
      <c r="F155" s="60"/>
      <c r="G155" s="276"/>
      <c r="H155" s="61"/>
      <c r="K155" s="32"/>
    </row>
    <row r="156" spans="1:11">
      <c r="A156" s="1"/>
      <c r="B156" s="2"/>
      <c r="C156" s="58"/>
      <c r="D156" s="59"/>
      <c r="E156" s="60"/>
      <c r="F156" s="60"/>
      <c r="G156" s="276"/>
      <c r="H156" s="61"/>
      <c r="K156" s="32"/>
    </row>
    <row r="157" spans="1:11">
      <c r="A157" s="1"/>
      <c r="B157" s="2"/>
      <c r="C157" s="58"/>
      <c r="D157" s="59"/>
      <c r="E157" s="60"/>
      <c r="F157" s="60"/>
      <c r="G157" s="276"/>
      <c r="H157" s="61"/>
      <c r="K157" s="32"/>
    </row>
    <row r="158" spans="1:11">
      <c r="A158" s="1"/>
      <c r="B158" s="2"/>
      <c r="C158" s="58"/>
      <c r="D158" s="59"/>
      <c r="E158" s="60"/>
      <c r="F158" s="60"/>
      <c r="G158" s="276"/>
      <c r="H158" s="61"/>
      <c r="K158" s="32"/>
    </row>
    <row r="159" spans="1:11">
      <c r="A159" s="1"/>
      <c r="B159" s="2"/>
      <c r="C159" s="58"/>
      <c r="D159" s="59"/>
      <c r="E159" s="60"/>
      <c r="F159" s="60"/>
      <c r="G159" s="276"/>
      <c r="H159" s="61"/>
      <c r="K159" s="32"/>
    </row>
    <row r="160" spans="1:11">
      <c r="A160" s="1"/>
      <c r="B160" s="2"/>
      <c r="C160" s="58"/>
      <c r="D160" s="59"/>
      <c r="E160" s="60"/>
      <c r="F160" s="60"/>
      <c r="G160" s="276"/>
      <c r="H160" s="61"/>
      <c r="K160" s="32"/>
    </row>
    <row r="161" spans="1:11">
      <c r="A161" s="1"/>
      <c r="B161" s="2"/>
      <c r="C161" s="58"/>
      <c r="D161" s="59"/>
      <c r="E161" s="60"/>
      <c r="F161" s="60"/>
      <c r="G161" s="276"/>
      <c r="H161" s="61"/>
      <c r="K161" s="32"/>
    </row>
    <row r="162" spans="1:11">
      <c r="A162" s="1"/>
      <c r="B162" s="2"/>
      <c r="C162" s="58"/>
      <c r="D162" s="59"/>
      <c r="E162" s="60"/>
      <c r="F162" s="60"/>
      <c r="G162" s="276"/>
      <c r="H162" s="61"/>
      <c r="K162" s="32"/>
    </row>
    <row r="163" spans="1:11">
      <c r="A163" s="1"/>
      <c r="B163" s="2"/>
      <c r="C163" s="58"/>
      <c r="D163" s="59"/>
      <c r="E163" s="60"/>
      <c r="F163" s="60"/>
      <c r="G163" s="276"/>
      <c r="H163" s="61"/>
      <c r="K163" s="32"/>
    </row>
    <row r="164" spans="1:11">
      <c r="A164" s="1"/>
      <c r="B164" s="2"/>
      <c r="C164" s="58"/>
      <c r="D164" s="59"/>
      <c r="E164" s="60"/>
      <c r="F164" s="60"/>
      <c r="G164" s="276"/>
      <c r="H164" s="61"/>
      <c r="K164" s="32"/>
    </row>
    <row r="165" spans="1:11">
      <c r="A165" s="1"/>
      <c r="B165" s="2"/>
      <c r="C165" s="58"/>
      <c r="D165" s="59"/>
      <c r="E165" s="60"/>
      <c r="F165" s="60"/>
      <c r="G165" s="276"/>
      <c r="H165" s="61"/>
      <c r="K165" s="32"/>
    </row>
    <row r="166" spans="1:11">
      <c r="A166" s="1"/>
      <c r="B166" s="2"/>
      <c r="C166" s="3"/>
      <c r="D166" s="68"/>
      <c r="E166" s="4"/>
      <c r="F166" s="4"/>
      <c r="K166" s="32"/>
    </row>
    <row r="167" spans="1:11">
      <c r="A167" s="1"/>
      <c r="B167" s="2"/>
      <c r="C167" s="3"/>
      <c r="D167" s="68"/>
      <c r="E167" s="4"/>
      <c r="F167" s="4"/>
      <c r="K167" s="32"/>
    </row>
    <row r="168" spans="1:11">
      <c r="A168" s="1"/>
      <c r="B168" s="2"/>
      <c r="C168" s="3"/>
      <c r="D168" s="68"/>
      <c r="E168" s="4"/>
      <c r="F168" s="4"/>
      <c r="K168" s="32"/>
    </row>
    <row r="169" spans="1:11">
      <c r="A169" s="1"/>
      <c r="B169" s="2"/>
      <c r="C169" s="3"/>
      <c r="D169" s="68"/>
      <c r="E169" s="4"/>
      <c r="F169" s="4"/>
      <c r="K169" s="32"/>
    </row>
    <row r="170" spans="1:11">
      <c r="A170" s="1"/>
      <c r="B170" s="2"/>
      <c r="C170" s="3"/>
      <c r="D170" s="68"/>
      <c r="E170" s="4"/>
      <c r="F170" s="4"/>
      <c r="K170" s="32"/>
    </row>
    <row r="171" spans="1:11">
      <c r="A171" s="1"/>
      <c r="B171" s="2"/>
      <c r="C171" s="3"/>
      <c r="D171" s="68"/>
      <c r="E171" s="4"/>
      <c r="F171" s="4"/>
      <c r="K171" s="32"/>
    </row>
    <row r="172" spans="1:11">
      <c r="A172" s="1"/>
      <c r="B172" s="2"/>
      <c r="C172" s="3"/>
      <c r="D172" s="68"/>
      <c r="E172" s="4"/>
      <c r="F172" s="4"/>
      <c r="K172" s="32"/>
    </row>
    <row r="173" spans="1:11">
      <c r="A173" s="1"/>
      <c r="B173" s="2"/>
      <c r="C173" s="3"/>
      <c r="D173" s="68"/>
      <c r="E173" s="4"/>
      <c r="F173" s="4"/>
      <c r="K173" s="32"/>
    </row>
    <row r="174" spans="1:11">
      <c r="A174" s="1"/>
      <c r="B174" s="2"/>
      <c r="C174" s="3"/>
      <c r="D174" s="68"/>
      <c r="E174" s="4"/>
      <c r="F174" s="4"/>
      <c r="K174" s="32"/>
    </row>
    <row r="175" spans="1:11">
      <c r="A175" s="1"/>
      <c r="B175" s="2"/>
      <c r="C175" s="3"/>
      <c r="D175" s="68"/>
      <c r="E175" s="4"/>
      <c r="F175" s="4"/>
      <c r="K175" s="32"/>
    </row>
    <row r="176" spans="1:11">
      <c r="A176" s="1"/>
      <c r="B176" s="2"/>
      <c r="C176" s="3"/>
      <c r="D176" s="68"/>
      <c r="E176" s="4"/>
      <c r="F176" s="4"/>
      <c r="K176" s="32"/>
    </row>
    <row r="177" spans="1:11">
      <c r="A177" s="1"/>
      <c r="B177" s="2"/>
      <c r="C177" s="3"/>
      <c r="D177" s="68"/>
      <c r="E177" s="4"/>
      <c r="F177" s="4"/>
      <c r="K177" s="32"/>
    </row>
    <row r="178" spans="1:11">
      <c r="A178" s="1"/>
      <c r="B178" s="2"/>
      <c r="C178" s="3"/>
      <c r="D178" s="68"/>
      <c r="E178" s="4"/>
      <c r="F178" s="4"/>
      <c r="K178" s="32"/>
    </row>
    <row r="179" spans="1:11">
      <c r="A179" s="1"/>
      <c r="B179" s="2"/>
      <c r="C179" s="3"/>
      <c r="D179" s="68"/>
      <c r="E179" s="4"/>
      <c r="F179" s="4"/>
      <c r="K179" s="32"/>
    </row>
    <row r="180" spans="1:11">
      <c r="A180" s="1"/>
      <c r="B180" s="2"/>
      <c r="C180" s="3"/>
      <c r="D180" s="68"/>
      <c r="E180" s="4"/>
      <c r="F180" s="4"/>
      <c r="K180" s="32"/>
    </row>
    <row r="181" spans="1:11">
      <c r="A181" s="1"/>
      <c r="B181" s="2"/>
      <c r="C181" s="3"/>
      <c r="D181" s="68"/>
      <c r="E181" s="4"/>
      <c r="F181" s="4"/>
      <c r="K181" s="32"/>
    </row>
    <row r="182" spans="1:11">
      <c r="A182" s="1"/>
      <c r="B182" s="2"/>
      <c r="C182" s="3"/>
      <c r="D182" s="68"/>
      <c r="E182" s="4"/>
      <c r="F182" s="4"/>
      <c r="K182" s="32"/>
    </row>
    <row r="183" spans="1:11">
      <c r="A183" s="1"/>
      <c r="B183" s="2"/>
      <c r="C183" s="3"/>
      <c r="D183" s="68"/>
      <c r="E183" s="4"/>
      <c r="F183" s="4"/>
      <c r="K183" s="32"/>
    </row>
    <row r="184" spans="1:11">
      <c r="A184" s="1"/>
      <c r="B184" s="2"/>
      <c r="C184" s="3"/>
      <c r="D184" s="68"/>
      <c r="E184" s="4"/>
      <c r="F184" s="4"/>
      <c r="K184" s="32"/>
    </row>
    <row r="185" spans="1:11">
      <c r="A185" s="1"/>
      <c r="B185" s="2"/>
      <c r="C185" s="3"/>
      <c r="D185" s="68"/>
      <c r="E185" s="4"/>
      <c r="F185" s="4"/>
      <c r="K185" s="32"/>
    </row>
    <row r="186" spans="1:11">
      <c r="A186" s="1"/>
      <c r="B186" s="2"/>
      <c r="C186" s="3"/>
      <c r="D186" s="68"/>
      <c r="E186" s="4"/>
      <c r="F186" s="4"/>
      <c r="K186" s="32"/>
    </row>
    <row r="187" spans="1:11">
      <c r="A187" s="1"/>
      <c r="B187" s="2"/>
      <c r="C187" s="3"/>
      <c r="D187" s="68"/>
      <c r="E187" s="4"/>
      <c r="F187" s="4"/>
      <c r="K187" s="32"/>
    </row>
    <row r="188" spans="1:11">
      <c r="A188" s="1"/>
      <c r="B188" s="2"/>
      <c r="C188" s="3"/>
      <c r="D188" s="68"/>
      <c r="E188" s="4"/>
      <c r="F188" s="4"/>
    </row>
    <row r="189" spans="1:11">
      <c r="A189" s="1"/>
      <c r="B189" s="2"/>
      <c r="C189" s="3"/>
      <c r="D189" s="68"/>
      <c r="E189" s="4"/>
      <c r="F189" s="4"/>
    </row>
    <row r="190" spans="1:11">
      <c r="A190" s="1"/>
      <c r="B190" s="2"/>
      <c r="C190" s="3"/>
      <c r="D190" s="68"/>
      <c r="E190" s="4"/>
      <c r="F190" s="4"/>
    </row>
    <row r="191" spans="1:11">
      <c r="A191" s="1"/>
      <c r="B191" s="2"/>
      <c r="C191" s="3"/>
      <c r="D191" s="68"/>
      <c r="E191" s="4"/>
      <c r="F191" s="4"/>
    </row>
    <row r="192" spans="1:11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B20:D20"/>
    <mergeCell ref="A137:C137"/>
    <mergeCell ref="D137:F137"/>
    <mergeCell ref="G137:H137"/>
    <mergeCell ref="A138:C138"/>
    <mergeCell ref="D138:F138"/>
    <mergeCell ref="G138:H138"/>
    <mergeCell ref="A12:D12"/>
    <mergeCell ref="A14:H14"/>
    <mergeCell ref="A15:H15"/>
    <mergeCell ref="A16:H16"/>
    <mergeCell ref="G17:H17"/>
    <mergeCell ref="A18:A19"/>
    <mergeCell ref="B18:D19"/>
    <mergeCell ref="E18:E19"/>
    <mergeCell ref="F18:F19"/>
    <mergeCell ref="G18:H18"/>
    <mergeCell ref="A11:G11"/>
    <mergeCell ref="A2:D2"/>
    <mergeCell ref="A3:D3"/>
    <mergeCell ref="A4:D4"/>
    <mergeCell ref="A5:D5"/>
    <mergeCell ref="A6:D6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27"/>
  <sheetViews>
    <sheetView topLeftCell="B123" workbookViewId="0">
      <selection activeCell="H129" sqref="H129"/>
    </sheetView>
  </sheetViews>
  <sheetFormatPr defaultRowHeight="12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10" width="9.140625" style="5"/>
    <col min="11" max="11" width="10.5703125" style="5" customWidth="1"/>
    <col min="12" max="13" width="12.42578125" style="72" customWidth="1"/>
    <col min="14" max="17" width="9.140625" style="72"/>
    <col min="18" max="19" width="0" style="5" hidden="1" customWidth="1"/>
    <col min="20" max="16384" width="9.140625" style="5"/>
  </cols>
  <sheetData>
    <row r="1" spans="1:17" ht="16.5" customHeight="1">
      <c r="A1" s="1"/>
      <c r="B1" s="2"/>
      <c r="C1" s="3"/>
      <c r="D1" s="4"/>
      <c r="E1" s="4"/>
      <c r="F1" s="4"/>
    </row>
    <row r="2" spans="1:17" ht="14.25">
      <c r="A2" s="319"/>
      <c r="B2" s="319"/>
      <c r="C2" s="319"/>
      <c r="D2" s="319"/>
      <c r="E2" s="4"/>
      <c r="F2" s="4"/>
    </row>
    <row r="3" spans="1:17" ht="13.5" customHeight="1">
      <c r="A3" s="319"/>
      <c r="B3" s="319"/>
      <c r="C3" s="319"/>
      <c r="D3" s="319"/>
      <c r="E3" s="4"/>
      <c r="F3" s="4"/>
    </row>
    <row r="4" spans="1:17" ht="15" customHeight="1">
      <c r="A4" s="319"/>
      <c r="B4" s="319"/>
      <c r="C4" s="319"/>
      <c r="D4" s="319"/>
      <c r="E4" s="4"/>
      <c r="F4" s="4"/>
    </row>
    <row r="5" spans="1:17" ht="16.5" customHeight="1">
      <c r="A5" s="319"/>
      <c r="B5" s="319"/>
      <c r="C5" s="319"/>
      <c r="D5" s="319"/>
      <c r="E5" s="4"/>
      <c r="F5" s="4"/>
    </row>
    <row r="6" spans="1:17" ht="14.25">
      <c r="A6" s="319"/>
      <c r="B6" s="319"/>
      <c r="C6" s="319"/>
      <c r="D6" s="319"/>
      <c r="E6" s="4"/>
      <c r="F6" s="4"/>
    </row>
    <row r="7" spans="1:17" ht="13.5" customHeight="1">
      <c r="A7" s="1"/>
      <c r="B7" s="2"/>
      <c r="C7" s="3"/>
      <c r="D7" s="4"/>
      <c r="E7" s="4"/>
      <c r="F7" s="4"/>
    </row>
    <row r="8" spans="1:17" ht="13.5" customHeight="1">
      <c r="A8" s="1"/>
      <c r="B8" s="2"/>
      <c r="C8" s="3"/>
      <c r="D8" s="4"/>
      <c r="E8" s="4"/>
      <c r="F8" s="4"/>
    </row>
    <row r="9" spans="1:17" ht="13.5" customHeight="1">
      <c r="A9" s="1"/>
      <c r="B9" s="2"/>
      <c r="C9" s="3"/>
      <c r="D9" s="4"/>
      <c r="E9" s="4"/>
      <c r="F9" s="4"/>
    </row>
    <row r="10" spans="1:17">
      <c r="A10" s="1"/>
      <c r="B10" s="2"/>
      <c r="C10" s="3"/>
      <c r="D10" s="4"/>
      <c r="E10" s="4"/>
      <c r="F10" s="4"/>
    </row>
    <row r="11" spans="1:17" s="7" customFormat="1" ht="13.5" customHeight="1">
      <c r="A11" s="318"/>
      <c r="B11" s="318"/>
      <c r="C11" s="318"/>
      <c r="D11" s="318"/>
      <c r="E11" s="318"/>
      <c r="F11" s="318"/>
      <c r="G11" s="318"/>
      <c r="L11" s="73"/>
      <c r="M11" s="73"/>
      <c r="N11" s="73"/>
      <c r="O11" s="73"/>
      <c r="P11" s="73"/>
      <c r="Q11" s="73"/>
    </row>
    <row r="12" spans="1:17" s="7" customFormat="1" ht="13.5" customHeight="1">
      <c r="A12" s="318"/>
      <c r="B12" s="318"/>
      <c r="C12" s="318"/>
      <c r="D12" s="318"/>
      <c r="E12" s="4"/>
      <c r="F12" s="4"/>
      <c r="L12" s="73"/>
      <c r="M12" s="73"/>
      <c r="N12" s="73"/>
      <c r="O12" s="73"/>
      <c r="P12" s="73"/>
      <c r="Q12" s="73"/>
    </row>
    <row r="13" spans="1:17" s="7" customFormat="1" ht="24" customHeight="1">
      <c r="A13" s="1"/>
      <c r="B13" s="2"/>
      <c r="C13" s="3"/>
      <c r="D13" s="4"/>
      <c r="E13" s="4"/>
      <c r="F13" s="4"/>
      <c r="H13" s="9"/>
      <c r="L13" s="73"/>
      <c r="M13" s="73"/>
      <c r="N13" s="73"/>
      <c r="O13" s="73"/>
      <c r="P13" s="73"/>
      <c r="Q13" s="73"/>
    </row>
    <row r="14" spans="1:17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L14" s="73"/>
      <c r="M14" s="73"/>
      <c r="N14" s="73"/>
      <c r="O14" s="73"/>
      <c r="P14" s="73"/>
      <c r="Q14" s="73"/>
    </row>
    <row r="15" spans="1:17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L15" s="73"/>
      <c r="M15" s="73"/>
      <c r="N15" s="73"/>
      <c r="O15" s="73"/>
      <c r="P15" s="73"/>
      <c r="Q15" s="73"/>
    </row>
    <row r="16" spans="1:17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L16" s="73"/>
      <c r="M16" s="73"/>
      <c r="N16" s="73"/>
      <c r="O16" s="73"/>
      <c r="P16" s="73"/>
      <c r="Q16" s="73"/>
    </row>
    <row r="17" spans="1:19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L17" s="73"/>
      <c r="M17" s="73"/>
      <c r="N17" s="73"/>
      <c r="O17" s="73"/>
      <c r="P17" s="73"/>
      <c r="Q17" s="73"/>
    </row>
    <row r="18" spans="1:19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L18" s="73"/>
      <c r="M18" s="73"/>
      <c r="N18" s="73"/>
      <c r="O18" s="73"/>
      <c r="P18" s="73"/>
      <c r="Q18" s="73"/>
    </row>
    <row r="19" spans="1:19" s="7" customFormat="1" ht="37.5" customHeight="1">
      <c r="A19" s="336"/>
      <c r="B19" s="336"/>
      <c r="C19" s="336"/>
      <c r="D19" s="336"/>
      <c r="E19" s="337"/>
      <c r="F19" s="338"/>
      <c r="G19" s="10" t="s">
        <v>4</v>
      </c>
      <c r="H19" s="11" t="s">
        <v>5</v>
      </c>
      <c r="L19" s="73"/>
      <c r="M19" s="73"/>
      <c r="N19" s="73"/>
      <c r="O19" s="73"/>
      <c r="P19" s="73"/>
      <c r="Q19" s="73"/>
    </row>
    <row r="20" spans="1:19" s="7" customFormat="1" ht="27.75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15">
        <v>5</v>
      </c>
      <c r="H20" s="16">
        <v>6</v>
      </c>
      <c r="L20" s="344"/>
      <c r="M20" s="344"/>
      <c r="N20" s="73"/>
      <c r="O20" s="73"/>
      <c r="P20" s="73"/>
      <c r="Q20" s="73"/>
    </row>
    <row r="21" spans="1:19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3"/>
      <c r="H21" s="231"/>
      <c r="L21" s="74"/>
      <c r="M21" s="74"/>
      <c r="N21" s="74"/>
      <c r="O21" s="74"/>
      <c r="P21" s="74"/>
      <c r="Q21" s="74"/>
    </row>
    <row r="22" spans="1:19" s="79" customFormat="1" ht="31.5" customHeight="1">
      <c r="A22" s="76"/>
      <c r="B22" s="27"/>
      <c r="C22" s="27" t="s">
        <v>12</v>
      </c>
      <c r="D22" s="28" t="s">
        <v>291</v>
      </c>
      <c r="E22" s="42" t="s">
        <v>106</v>
      </c>
      <c r="F22" s="77"/>
      <c r="G22" s="41">
        <f>G23+G30+G35+G36</f>
        <v>1301724</v>
      </c>
      <c r="H22" s="184"/>
      <c r="I22" s="78"/>
      <c r="K22" s="78"/>
      <c r="L22" s="80"/>
      <c r="M22" s="80"/>
      <c r="N22" s="81"/>
      <c r="O22" s="81"/>
      <c r="P22" s="81"/>
      <c r="Q22" s="81"/>
      <c r="R22" s="86">
        <v>1353252</v>
      </c>
      <c r="S22" s="78">
        <f t="shared" ref="S22:S53" si="0">H22-R22</f>
        <v>-1353252</v>
      </c>
    </row>
    <row r="23" spans="1:19" s="79" customFormat="1" ht="25.5" customHeight="1">
      <c r="A23" s="42"/>
      <c r="B23" s="27"/>
      <c r="C23" s="27"/>
      <c r="D23" s="28" t="s">
        <v>292</v>
      </c>
      <c r="E23" s="42" t="s">
        <v>107</v>
      </c>
      <c r="F23" s="82"/>
      <c r="G23" s="83">
        <f>G24+G25-G26-G27-G28+G29</f>
        <v>1301621</v>
      </c>
      <c r="H23" s="185"/>
      <c r="I23" s="78"/>
      <c r="K23" s="78"/>
      <c r="L23" s="80"/>
      <c r="M23" s="80"/>
      <c r="N23" s="81"/>
      <c r="O23" s="81"/>
      <c r="P23" s="81"/>
      <c r="Q23" s="81"/>
      <c r="R23" s="87">
        <v>1349802</v>
      </c>
      <c r="S23" s="78">
        <f t="shared" si="0"/>
        <v>-1349802</v>
      </c>
    </row>
    <row r="24" spans="1:19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88">
        <f>1306782+149</f>
        <v>1306931</v>
      </c>
      <c r="H24" s="186"/>
      <c r="I24" s="78"/>
      <c r="K24" s="32"/>
      <c r="L24" s="75"/>
      <c r="M24" s="75"/>
      <c r="R24" s="88">
        <v>1354519</v>
      </c>
      <c r="S24" s="78">
        <f t="shared" si="0"/>
        <v>-1354519</v>
      </c>
    </row>
    <row r="25" spans="1:19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88">
        <v>0</v>
      </c>
      <c r="H25" s="186"/>
      <c r="I25" s="78"/>
      <c r="K25" s="32"/>
      <c r="L25" s="75"/>
      <c r="M25" s="75"/>
      <c r="R25" s="88">
        <v>0</v>
      </c>
      <c r="S25" s="78">
        <f t="shared" si="0"/>
        <v>0</v>
      </c>
    </row>
    <row r="26" spans="1:19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88">
        <v>0</v>
      </c>
      <c r="H26" s="186"/>
      <c r="I26" s="78"/>
      <c r="K26" s="32"/>
      <c r="L26" s="75"/>
      <c r="M26" s="75"/>
      <c r="R26" s="88">
        <v>0</v>
      </c>
      <c r="S26" s="78">
        <f t="shared" si="0"/>
        <v>0</v>
      </c>
    </row>
    <row r="27" spans="1:19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88">
        <v>5161</v>
      </c>
      <c r="H27" s="186"/>
      <c r="I27" s="78"/>
      <c r="K27" s="32"/>
      <c r="L27" s="75"/>
      <c r="M27" s="75"/>
      <c r="R27" s="88">
        <v>4575</v>
      </c>
      <c r="S27" s="78">
        <f t="shared" si="0"/>
        <v>-4575</v>
      </c>
    </row>
    <row r="28" spans="1:19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88">
        <v>149</v>
      </c>
      <c r="H28" s="186"/>
      <c r="I28" s="78"/>
      <c r="K28" s="32"/>
      <c r="L28" s="75"/>
      <c r="M28" s="75"/>
      <c r="R28" s="88">
        <v>142</v>
      </c>
      <c r="S28" s="78">
        <f t="shared" si="0"/>
        <v>-142</v>
      </c>
    </row>
    <row r="29" spans="1:19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88">
        <v>0</v>
      </c>
      <c r="H29" s="186"/>
      <c r="I29" s="78"/>
      <c r="K29" s="32"/>
      <c r="L29" s="75"/>
      <c r="M29" s="75"/>
      <c r="R29" s="88">
        <v>0</v>
      </c>
      <c r="S29" s="78">
        <f t="shared" si="0"/>
        <v>0</v>
      </c>
    </row>
    <row r="30" spans="1:19" s="79" customFormat="1" ht="38.25" customHeight="1">
      <c r="A30" s="42"/>
      <c r="B30" s="27"/>
      <c r="C30" s="27"/>
      <c r="D30" s="28" t="s">
        <v>293</v>
      </c>
      <c r="E30" s="42" t="s">
        <v>116</v>
      </c>
      <c r="F30" s="82"/>
      <c r="G30" s="83">
        <f>G31-G32-G33+G34</f>
        <v>0</v>
      </c>
      <c r="H30" s="185"/>
      <c r="I30" s="78"/>
      <c r="K30" s="78"/>
      <c r="L30" s="80"/>
      <c r="M30" s="80"/>
      <c r="N30" s="81"/>
      <c r="O30" s="81"/>
      <c r="P30" s="81"/>
      <c r="Q30" s="81"/>
      <c r="R30" s="87">
        <v>0</v>
      </c>
      <c r="S30" s="78">
        <f t="shared" si="0"/>
        <v>0</v>
      </c>
    </row>
    <row r="31" spans="1:19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88">
        <v>0</v>
      </c>
      <c r="H31" s="186"/>
      <c r="I31" s="78"/>
      <c r="K31" s="32"/>
      <c r="L31" s="75"/>
      <c r="M31" s="75"/>
      <c r="R31" s="88">
        <v>0</v>
      </c>
      <c r="S31" s="78">
        <f t="shared" si="0"/>
        <v>0</v>
      </c>
    </row>
    <row r="32" spans="1:19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88">
        <v>0</v>
      </c>
      <c r="H32" s="186"/>
      <c r="I32" s="78"/>
      <c r="K32" s="32"/>
      <c r="L32" s="75"/>
      <c r="M32" s="75"/>
      <c r="R32" s="88">
        <v>0</v>
      </c>
      <c r="S32" s="78">
        <f t="shared" si="0"/>
        <v>0</v>
      </c>
    </row>
    <row r="33" spans="1:19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88">
        <v>0</v>
      </c>
      <c r="H33" s="186"/>
      <c r="I33" s="78"/>
      <c r="K33" s="32"/>
      <c r="L33" s="75"/>
      <c r="M33" s="75"/>
      <c r="R33" s="88">
        <v>0</v>
      </c>
      <c r="S33" s="78">
        <f t="shared" si="0"/>
        <v>0</v>
      </c>
    </row>
    <row r="34" spans="1:19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88">
        <v>0</v>
      </c>
      <c r="H34" s="186"/>
      <c r="I34" s="78"/>
      <c r="K34" s="32"/>
      <c r="L34" s="75"/>
      <c r="M34" s="75"/>
      <c r="R34" s="88">
        <v>0</v>
      </c>
      <c r="S34" s="78">
        <f t="shared" si="0"/>
        <v>0</v>
      </c>
    </row>
    <row r="35" spans="1:19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7">
        <v>0</v>
      </c>
      <c r="H35" s="185"/>
      <c r="I35" s="78"/>
      <c r="K35" s="32"/>
      <c r="L35" s="75"/>
      <c r="M35" s="75"/>
      <c r="R35" s="87">
        <v>0</v>
      </c>
      <c r="S35" s="78">
        <f t="shared" si="0"/>
        <v>0</v>
      </c>
    </row>
    <row r="36" spans="1:19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7">
        <v>103</v>
      </c>
      <c r="H36" s="185"/>
      <c r="I36" s="78"/>
      <c r="K36" s="32"/>
      <c r="L36" s="75"/>
      <c r="M36" s="75"/>
      <c r="R36" s="87">
        <v>3450</v>
      </c>
      <c r="S36" s="78">
        <f t="shared" si="0"/>
        <v>-3450</v>
      </c>
    </row>
    <row r="37" spans="1:19" s="79" customFormat="1" ht="33" customHeight="1">
      <c r="A37" s="76"/>
      <c r="B37" s="27"/>
      <c r="C37" s="27" t="s">
        <v>22</v>
      </c>
      <c r="D37" s="28" t="s">
        <v>294</v>
      </c>
      <c r="E37" s="42" t="s">
        <v>127</v>
      </c>
      <c r="F37" s="77"/>
      <c r="G37" s="41">
        <f>G38+G47+G55-G56-G65+G66-G67+G68+G69</f>
        <v>1021681</v>
      </c>
      <c r="H37" s="184"/>
      <c r="I37" s="78"/>
      <c r="K37" s="78"/>
      <c r="L37" s="80"/>
      <c r="M37" s="80"/>
      <c r="N37" s="81"/>
      <c r="O37" s="81"/>
      <c r="P37" s="81"/>
      <c r="Q37" s="81"/>
      <c r="R37" s="86">
        <v>973229</v>
      </c>
      <c r="S37" s="78">
        <f t="shared" si="0"/>
        <v>-973229</v>
      </c>
    </row>
    <row r="38" spans="1:19" s="79" customFormat="1" ht="32.25" customHeight="1">
      <c r="A38" s="42"/>
      <c r="B38" s="27"/>
      <c r="C38" s="27"/>
      <c r="D38" s="28" t="s">
        <v>295</v>
      </c>
      <c r="E38" s="42" t="s">
        <v>128</v>
      </c>
      <c r="F38" s="82"/>
      <c r="G38" s="83">
        <f>G39+G40+G41+G42+G43+G44+G45+G46</f>
        <v>443898</v>
      </c>
      <c r="H38" s="185"/>
      <c r="I38" s="78"/>
      <c r="K38" s="78"/>
      <c r="L38" s="80"/>
      <c r="M38" s="80"/>
      <c r="N38" s="81"/>
      <c r="O38" s="81"/>
      <c r="P38" s="81"/>
      <c r="Q38" s="81"/>
      <c r="R38" s="87">
        <v>362353</v>
      </c>
      <c r="S38" s="78">
        <f t="shared" si="0"/>
        <v>-362353</v>
      </c>
    </row>
    <row r="39" spans="1:19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88">
        <v>443898</v>
      </c>
      <c r="H39" s="186"/>
      <c r="I39" s="78"/>
      <c r="K39" s="32"/>
      <c r="L39" s="75"/>
      <c r="M39" s="75"/>
      <c r="R39" s="88">
        <v>362353</v>
      </c>
      <c r="S39" s="78">
        <f t="shared" si="0"/>
        <v>-362353</v>
      </c>
    </row>
    <row r="40" spans="1:19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88">
        <v>0</v>
      </c>
      <c r="H40" s="186"/>
      <c r="I40" s="78"/>
      <c r="K40" s="32"/>
      <c r="L40" s="75"/>
      <c r="M40" s="75"/>
      <c r="R40" s="88">
        <v>0</v>
      </c>
      <c r="S40" s="78">
        <f t="shared" si="0"/>
        <v>0</v>
      </c>
    </row>
    <row r="41" spans="1:19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88">
        <v>0</v>
      </c>
      <c r="H41" s="186"/>
      <c r="I41" s="78"/>
      <c r="K41" s="32"/>
      <c r="L41" s="75"/>
      <c r="M41" s="75"/>
      <c r="R41" s="88">
        <v>0</v>
      </c>
      <c r="S41" s="78">
        <f t="shared" si="0"/>
        <v>0</v>
      </c>
    </row>
    <row r="42" spans="1:19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88">
        <v>0</v>
      </c>
      <c r="H42" s="186"/>
      <c r="I42" s="78"/>
      <c r="K42" s="32"/>
      <c r="L42" s="75"/>
      <c r="M42" s="75"/>
      <c r="R42" s="88">
        <v>0</v>
      </c>
      <c r="S42" s="78">
        <f t="shared" si="0"/>
        <v>0</v>
      </c>
    </row>
    <row r="43" spans="1:19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88">
        <v>0</v>
      </c>
      <c r="H43" s="186"/>
      <c r="I43" s="78"/>
      <c r="K43" s="32"/>
      <c r="L43" s="75"/>
      <c r="M43" s="75"/>
      <c r="R43" s="88">
        <v>0</v>
      </c>
      <c r="S43" s="78">
        <f t="shared" si="0"/>
        <v>0</v>
      </c>
    </row>
    <row r="44" spans="1:19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88">
        <v>0</v>
      </c>
      <c r="H44" s="186"/>
      <c r="I44" s="78"/>
      <c r="K44" s="32"/>
      <c r="L44" s="75"/>
      <c r="M44" s="75"/>
      <c r="R44" s="88">
        <v>0</v>
      </c>
      <c r="S44" s="78">
        <f t="shared" si="0"/>
        <v>0</v>
      </c>
    </row>
    <row r="45" spans="1:19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88">
        <v>0</v>
      </c>
      <c r="H45" s="186"/>
      <c r="I45" s="78"/>
      <c r="K45" s="32"/>
      <c r="L45" s="75"/>
      <c r="M45" s="75"/>
      <c r="R45" s="88">
        <v>0</v>
      </c>
      <c r="S45" s="78">
        <f t="shared" si="0"/>
        <v>0</v>
      </c>
    </row>
    <row r="46" spans="1:19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88">
        <v>0</v>
      </c>
      <c r="H46" s="186"/>
      <c r="I46" s="78"/>
      <c r="K46" s="32"/>
      <c r="L46" s="75"/>
      <c r="M46" s="75"/>
      <c r="R46" s="88">
        <v>0</v>
      </c>
      <c r="S46" s="78">
        <f t="shared" si="0"/>
        <v>0</v>
      </c>
    </row>
    <row r="47" spans="1:19" s="79" customFormat="1" ht="27.75" customHeight="1">
      <c r="A47" s="42"/>
      <c r="B47" s="27"/>
      <c r="C47" s="27"/>
      <c r="D47" s="28" t="s">
        <v>296</v>
      </c>
      <c r="E47" s="42" t="s">
        <v>144</v>
      </c>
      <c r="F47" s="82"/>
      <c r="G47" s="83">
        <f>G48+G49+G50+G51+G52-G53-G54</f>
        <v>587425</v>
      </c>
      <c r="H47" s="185"/>
      <c r="I47" s="78"/>
      <c r="K47" s="78"/>
      <c r="L47" s="80"/>
      <c r="M47" s="80"/>
      <c r="N47" s="81"/>
      <c r="O47" s="81"/>
      <c r="P47" s="81"/>
      <c r="Q47" s="81"/>
      <c r="R47" s="87">
        <v>1068249</v>
      </c>
      <c r="S47" s="78">
        <f t="shared" si="0"/>
        <v>-1068249</v>
      </c>
    </row>
    <row r="48" spans="1:19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88">
        <v>587413</v>
      </c>
      <c r="H48" s="186"/>
      <c r="I48" s="78"/>
      <c r="K48" s="32"/>
      <c r="L48" s="75"/>
      <c r="M48" s="100"/>
      <c r="R48" s="88">
        <v>1072233</v>
      </c>
      <c r="S48" s="78">
        <f t="shared" si="0"/>
        <v>-1072233</v>
      </c>
    </row>
    <row r="49" spans="1:19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88">
        <v>0</v>
      </c>
      <c r="H49" s="186"/>
      <c r="I49" s="78"/>
      <c r="K49" s="32"/>
      <c r="L49" s="75"/>
      <c r="M49" s="75"/>
      <c r="R49" s="88">
        <v>0</v>
      </c>
      <c r="S49" s="78">
        <f t="shared" si="0"/>
        <v>0</v>
      </c>
    </row>
    <row r="50" spans="1:19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88">
        <v>0</v>
      </c>
      <c r="H50" s="186"/>
      <c r="I50" s="78"/>
      <c r="K50" s="32"/>
      <c r="L50" s="75"/>
      <c r="M50" s="75"/>
      <c r="R50" s="88">
        <v>0</v>
      </c>
      <c r="S50" s="78">
        <f t="shared" si="0"/>
        <v>0</v>
      </c>
    </row>
    <row r="51" spans="1:19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88">
        <v>0</v>
      </c>
      <c r="H51" s="186"/>
      <c r="I51" s="78"/>
      <c r="K51" s="32"/>
      <c r="L51" s="75"/>
      <c r="M51" s="75"/>
      <c r="R51" s="88">
        <v>0</v>
      </c>
      <c r="S51" s="78">
        <f t="shared" si="0"/>
        <v>0</v>
      </c>
    </row>
    <row r="52" spans="1:19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88">
        <v>12</v>
      </c>
      <c r="H52" s="186"/>
      <c r="I52" s="78"/>
      <c r="K52" s="32"/>
      <c r="L52" s="75"/>
      <c r="M52" s="75"/>
      <c r="R52" s="88">
        <v>3356</v>
      </c>
      <c r="S52" s="78">
        <f t="shared" si="0"/>
        <v>-3356</v>
      </c>
    </row>
    <row r="53" spans="1:19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88">
        <v>0</v>
      </c>
      <c r="H53" s="186"/>
      <c r="I53" s="78"/>
      <c r="K53" s="32"/>
      <c r="L53" s="75"/>
      <c r="M53" s="75"/>
      <c r="R53" s="88">
        <v>0</v>
      </c>
      <c r="S53" s="78">
        <f t="shared" si="0"/>
        <v>0</v>
      </c>
    </row>
    <row r="54" spans="1:19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88">
        <v>0</v>
      </c>
      <c r="H54" s="186"/>
      <c r="I54" s="78"/>
      <c r="K54" s="32"/>
      <c r="L54" s="75"/>
      <c r="M54" s="75"/>
      <c r="R54" s="88">
        <v>7340</v>
      </c>
      <c r="S54" s="78">
        <f t="shared" ref="S54:S85" si="1">H54-R54</f>
        <v>-7340</v>
      </c>
    </row>
    <row r="55" spans="1:19" s="79" customFormat="1" ht="25.5">
      <c r="A55" s="42"/>
      <c r="B55" s="27"/>
      <c r="C55" s="27"/>
      <c r="D55" s="28" t="s">
        <v>297</v>
      </c>
      <c r="E55" s="42" t="s">
        <v>156</v>
      </c>
      <c r="F55" s="82"/>
      <c r="G55" s="83">
        <f>IF((G57-G58+G59-G60+G61-G62+G63-G64)&gt;0,(G57-G58+G59-G60+G61-G62+G63-G64),0)</f>
        <v>0</v>
      </c>
      <c r="H55" s="185"/>
      <c r="I55" s="78"/>
      <c r="K55" s="78"/>
      <c r="L55" s="80"/>
      <c r="M55" s="80"/>
      <c r="N55" s="81"/>
      <c r="O55" s="81"/>
      <c r="P55" s="81"/>
      <c r="Q55" s="81"/>
      <c r="R55" s="87">
        <v>4282</v>
      </c>
      <c r="S55" s="78">
        <f t="shared" si="1"/>
        <v>-4282</v>
      </c>
    </row>
    <row r="56" spans="1:19" s="79" customFormat="1" ht="25.5">
      <c r="A56" s="42"/>
      <c r="B56" s="27"/>
      <c r="C56" s="27"/>
      <c r="D56" s="28" t="s">
        <v>298</v>
      </c>
      <c r="E56" s="42" t="s">
        <v>157</v>
      </c>
      <c r="F56" s="82"/>
      <c r="G56" s="190">
        <f>IF((G57-G58+G59-G60+G61-G62+G63-G64)&lt;0,-(G57-G58+G59-G60+G61-G62+G63-G64),0)</f>
        <v>3243</v>
      </c>
      <c r="H56" s="187"/>
      <c r="I56" s="78"/>
      <c r="K56" s="78"/>
      <c r="L56" s="80"/>
      <c r="M56" s="80"/>
      <c r="N56" s="81"/>
      <c r="O56" s="81"/>
      <c r="P56" s="81"/>
      <c r="Q56" s="81"/>
      <c r="R56" s="91"/>
      <c r="S56" s="78">
        <f t="shared" si="1"/>
        <v>0</v>
      </c>
    </row>
    <row r="57" spans="1:19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88">
        <v>5856</v>
      </c>
      <c r="H57" s="186"/>
      <c r="I57" s="78"/>
      <c r="K57" s="32"/>
      <c r="L57" s="75"/>
      <c r="M57" s="75"/>
      <c r="R57" s="88">
        <v>10554</v>
      </c>
      <c r="S57" s="78">
        <f t="shared" si="1"/>
        <v>-10554</v>
      </c>
    </row>
    <row r="58" spans="1:19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88">
        <v>9099</v>
      </c>
      <c r="H58" s="186"/>
      <c r="I58" s="78"/>
      <c r="K58" s="32"/>
      <c r="L58" s="75"/>
      <c r="M58" s="75"/>
      <c r="R58" s="88">
        <v>6272</v>
      </c>
      <c r="S58" s="78">
        <f t="shared" si="1"/>
        <v>-6272</v>
      </c>
    </row>
    <row r="59" spans="1:19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88">
        <v>0</v>
      </c>
      <c r="H59" s="186"/>
      <c r="I59" s="78"/>
      <c r="K59" s="32"/>
      <c r="L59" s="75"/>
      <c r="M59" s="75"/>
      <c r="R59" s="88">
        <v>0</v>
      </c>
      <c r="S59" s="78">
        <f t="shared" si="1"/>
        <v>0</v>
      </c>
    </row>
    <row r="60" spans="1:19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88">
        <v>0</v>
      </c>
      <c r="H60" s="186"/>
      <c r="I60" s="78"/>
      <c r="K60" s="32"/>
      <c r="L60" s="75"/>
      <c r="M60" s="75"/>
      <c r="R60" s="88">
        <v>0</v>
      </c>
      <c r="S60" s="78">
        <f t="shared" si="1"/>
        <v>0</v>
      </c>
    </row>
    <row r="61" spans="1:19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88">
        <v>0</v>
      </c>
      <c r="H61" s="186"/>
      <c r="I61" s="78"/>
      <c r="K61" s="32"/>
      <c r="L61" s="75"/>
      <c r="M61" s="75"/>
      <c r="R61" s="88">
        <v>0</v>
      </c>
      <c r="S61" s="78">
        <f t="shared" si="1"/>
        <v>0</v>
      </c>
    </row>
    <row r="62" spans="1:19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88">
        <v>0</v>
      </c>
      <c r="H62" s="186"/>
      <c r="I62" s="78"/>
      <c r="K62" s="32"/>
      <c r="L62" s="75"/>
      <c r="M62" s="75"/>
      <c r="R62" s="88">
        <v>0</v>
      </c>
      <c r="S62" s="78">
        <f t="shared" si="1"/>
        <v>0</v>
      </c>
    </row>
    <row r="63" spans="1:19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88">
        <v>0</v>
      </c>
      <c r="H63" s="186"/>
      <c r="I63" s="78"/>
      <c r="K63" s="32"/>
      <c r="L63" s="75"/>
      <c r="M63" s="75"/>
      <c r="R63" s="88">
        <v>0</v>
      </c>
      <c r="S63" s="78">
        <f t="shared" si="1"/>
        <v>0</v>
      </c>
    </row>
    <row r="64" spans="1:19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88">
        <v>0</v>
      </c>
      <c r="H64" s="186"/>
      <c r="I64" s="78"/>
      <c r="K64" s="32"/>
      <c r="L64" s="75"/>
      <c r="M64" s="75"/>
      <c r="R64" s="88">
        <v>0</v>
      </c>
      <c r="S64" s="78">
        <f t="shared" si="1"/>
        <v>0</v>
      </c>
    </row>
    <row r="65" spans="1:19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7">
        <v>0</v>
      </c>
      <c r="H65" s="185"/>
      <c r="I65" s="78"/>
      <c r="K65" s="32"/>
      <c r="L65" s="75"/>
      <c r="M65" s="75"/>
      <c r="R65" s="87">
        <v>0</v>
      </c>
      <c r="S65" s="78">
        <f t="shared" si="1"/>
        <v>0</v>
      </c>
    </row>
    <row r="66" spans="1:19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7">
        <v>0</v>
      </c>
      <c r="H66" s="185"/>
      <c r="I66" s="78"/>
      <c r="K66" s="32"/>
      <c r="L66" s="75"/>
      <c r="M66" s="75"/>
      <c r="R66" s="87">
        <v>0</v>
      </c>
      <c r="S66" s="78">
        <f t="shared" si="1"/>
        <v>0</v>
      </c>
    </row>
    <row r="67" spans="1:19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7">
        <v>6399</v>
      </c>
      <c r="H67" s="185"/>
      <c r="I67" s="78"/>
      <c r="K67" s="32"/>
      <c r="L67" s="75"/>
      <c r="M67" s="75"/>
      <c r="R67" s="87">
        <v>461655</v>
      </c>
      <c r="S67" s="78">
        <f t="shared" si="1"/>
        <v>-461655</v>
      </c>
    </row>
    <row r="68" spans="1:19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7">
        <v>0</v>
      </c>
      <c r="H68" s="185"/>
      <c r="I68" s="78"/>
      <c r="K68" s="32"/>
      <c r="L68" s="75"/>
      <c r="M68" s="75"/>
      <c r="R68" s="87">
        <v>0</v>
      </c>
      <c r="S68" s="78">
        <f t="shared" si="1"/>
        <v>0</v>
      </c>
    </row>
    <row r="69" spans="1:19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7">
        <v>0</v>
      </c>
      <c r="H69" s="185"/>
      <c r="I69" s="78"/>
      <c r="K69" s="32"/>
      <c r="L69" s="75"/>
      <c r="M69" s="75"/>
      <c r="R69" s="87">
        <v>0</v>
      </c>
      <c r="S69" s="78">
        <f t="shared" si="1"/>
        <v>0</v>
      </c>
    </row>
    <row r="70" spans="1:19" s="79" customFormat="1" ht="13.5">
      <c r="A70" s="76"/>
      <c r="B70" s="27"/>
      <c r="C70" s="27" t="s">
        <v>54</v>
      </c>
      <c r="D70" s="28" t="s">
        <v>299</v>
      </c>
      <c r="E70" s="42" t="s">
        <v>182</v>
      </c>
      <c r="F70" s="77"/>
      <c r="G70" s="41">
        <f>IF((G22-G37)&gt;0,(G22-G37),0)</f>
        <v>280043</v>
      </c>
      <c r="H70" s="184"/>
      <c r="I70" s="78"/>
      <c r="K70" s="78"/>
      <c r="L70" s="80"/>
      <c r="M70" s="80"/>
      <c r="N70" s="81"/>
      <c r="O70" s="81"/>
      <c r="P70" s="81"/>
      <c r="Q70" s="81"/>
      <c r="R70" s="86">
        <v>380023</v>
      </c>
      <c r="S70" s="78">
        <f t="shared" si="1"/>
        <v>-380023</v>
      </c>
    </row>
    <row r="71" spans="1:19" s="79" customFormat="1" ht="13.5">
      <c r="A71" s="76"/>
      <c r="B71" s="27"/>
      <c r="C71" s="27" t="s">
        <v>55</v>
      </c>
      <c r="D71" s="28" t="s">
        <v>300</v>
      </c>
      <c r="E71" s="42" t="s">
        <v>183</v>
      </c>
      <c r="F71" s="77"/>
      <c r="G71" s="41">
        <f>IF((G22-G37)&lt;0,-(G22-G37),0)</f>
        <v>0</v>
      </c>
      <c r="H71" s="184"/>
      <c r="I71" s="78"/>
      <c r="K71" s="78"/>
      <c r="L71" s="80"/>
      <c r="M71" s="80"/>
      <c r="N71" s="81"/>
      <c r="O71" s="81"/>
      <c r="P71" s="81"/>
      <c r="Q71" s="81"/>
      <c r="R71" s="86"/>
      <c r="S71" s="78">
        <f t="shared" si="1"/>
        <v>0</v>
      </c>
    </row>
    <row r="72" spans="1:19" s="79" customFormat="1" ht="25.5">
      <c r="A72" s="76"/>
      <c r="B72" s="27" t="s">
        <v>56</v>
      </c>
      <c r="C72" s="27"/>
      <c r="D72" s="42" t="s">
        <v>301</v>
      </c>
      <c r="E72" s="42"/>
      <c r="F72" s="77"/>
      <c r="G72" s="41"/>
      <c r="H72" s="184"/>
      <c r="I72" s="78"/>
      <c r="K72" s="78"/>
      <c r="L72" s="80"/>
      <c r="M72" s="80"/>
      <c r="N72" s="81"/>
      <c r="O72" s="81"/>
      <c r="P72" s="81"/>
      <c r="Q72" s="81"/>
      <c r="R72" s="86"/>
      <c r="S72" s="78">
        <f t="shared" si="1"/>
        <v>0</v>
      </c>
    </row>
    <row r="73" spans="1:19" s="79" customFormat="1" ht="25.5">
      <c r="A73" s="76"/>
      <c r="B73" s="27"/>
      <c r="C73" s="27" t="s">
        <v>12</v>
      </c>
      <c r="D73" s="28" t="s">
        <v>302</v>
      </c>
      <c r="E73" s="42" t="s">
        <v>184</v>
      </c>
      <c r="F73" s="77"/>
      <c r="G73" s="41">
        <f>G74+G75+G79+G80+G81+G82+G83</f>
        <v>247024</v>
      </c>
      <c r="H73" s="184"/>
      <c r="I73" s="78"/>
      <c r="K73" s="78"/>
      <c r="L73" s="80"/>
      <c r="M73" s="80"/>
      <c r="N73" s="81"/>
      <c r="O73" s="81"/>
      <c r="P73" s="81"/>
      <c r="Q73" s="81"/>
      <c r="R73" s="86">
        <v>224548</v>
      </c>
      <c r="S73" s="78">
        <f t="shared" si="1"/>
        <v>-224548</v>
      </c>
    </row>
    <row r="74" spans="1:19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88">
        <v>434</v>
      </c>
      <c r="H74" s="186"/>
      <c r="I74" s="78"/>
      <c r="K74" s="32"/>
      <c r="L74" s="75"/>
      <c r="M74" s="75"/>
      <c r="R74" s="93">
        <v>1206</v>
      </c>
      <c r="S74" s="78">
        <f t="shared" si="1"/>
        <v>-1206</v>
      </c>
    </row>
    <row r="75" spans="1:19" ht="15.75" customHeight="1">
      <c r="A75" s="26"/>
      <c r="B75" s="27"/>
      <c r="C75" s="27"/>
      <c r="D75" s="39" t="s">
        <v>188</v>
      </c>
      <c r="E75" s="29" t="s">
        <v>190</v>
      </c>
      <c r="F75" s="30"/>
      <c r="G75" s="88">
        <v>21908</v>
      </c>
      <c r="H75" s="186"/>
      <c r="I75" s="78"/>
      <c r="K75" s="32"/>
      <c r="L75" s="75"/>
      <c r="M75" s="75"/>
      <c r="R75" s="94">
        <v>0</v>
      </c>
      <c r="S75" s="78">
        <f t="shared" si="1"/>
        <v>0</v>
      </c>
    </row>
    <row r="76" spans="1:19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88">
        <v>6835</v>
      </c>
      <c r="H76" s="186"/>
      <c r="I76" s="78"/>
      <c r="K76" s="32"/>
      <c r="L76" s="75"/>
      <c r="M76" s="75"/>
      <c r="R76" s="93">
        <v>0</v>
      </c>
      <c r="S76" s="78">
        <f t="shared" si="1"/>
        <v>0</v>
      </c>
    </row>
    <row r="77" spans="1:19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88">
        <v>15018</v>
      </c>
      <c r="H77" s="186"/>
      <c r="I77" s="78"/>
      <c r="K77" s="32"/>
      <c r="L77" s="75"/>
      <c r="M77" s="75"/>
      <c r="R77" s="93">
        <v>0</v>
      </c>
      <c r="S77" s="78">
        <f t="shared" si="1"/>
        <v>0</v>
      </c>
    </row>
    <row r="78" spans="1:19" ht="13.5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88">
        <v>55</v>
      </c>
      <c r="H78" s="186"/>
      <c r="I78" s="78"/>
      <c r="K78" s="32"/>
      <c r="L78" s="75"/>
      <c r="M78" s="75"/>
      <c r="R78" s="93">
        <v>0</v>
      </c>
      <c r="S78" s="78">
        <f t="shared" si="1"/>
        <v>0</v>
      </c>
    </row>
    <row r="79" spans="1:19" ht="13.5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88">
        <v>55776</v>
      </c>
      <c r="H79" s="186"/>
      <c r="I79" s="78"/>
      <c r="K79" s="32"/>
      <c r="L79" s="75"/>
      <c r="M79" s="75"/>
      <c r="R79" s="86">
        <v>2942</v>
      </c>
      <c r="S79" s="78">
        <f t="shared" si="1"/>
        <v>-2942</v>
      </c>
    </row>
    <row r="80" spans="1:19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88">
        <v>91222</v>
      </c>
      <c r="H80" s="186"/>
      <c r="I80" s="78"/>
      <c r="K80" s="32"/>
      <c r="L80" s="75"/>
      <c r="M80" s="75"/>
      <c r="R80" s="86">
        <v>68948</v>
      </c>
      <c r="S80" s="78">
        <f t="shared" si="1"/>
        <v>-68948</v>
      </c>
    </row>
    <row r="81" spans="1:19" ht="13.5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88">
        <v>94</v>
      </c>
      <c r="H81" s="186"/>
      <c r="I81" s="78"/>
      <c r="K81" s="32"/>
      <c r="L81" s="75"/>
      <c r="M81" s="75"/>
      <c r="R81" s="86">
        <v>0</v>
      </c>
      <c r="S81" s="78">
        <f t="shared" si="1"/>
        <v>0</v>
      </c>
    </row>
    <row r="82" spans="1:19" ht="13.5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88">
        <v>69665</v>
      </c>
      <c r="H82" s="186"/>
      <c r="I82" s="78"/>
      <c r="K82" s="32"/>
      <c r="L82" s="75"/>
      <c r="M82" s="75"/>
      <c r="R82" s="86">
        <v>151452</v>
      </c>
      <c r="S82" s="78">
        <f t="shared" si="1"/>
        <v>-151452</v>
      </c>
    </row>
    <row r="83" spans="1:19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88">
        <v>7925</v>
      </c>
      <c r="H83" s="186"/>
      <c r="I83" s="78"/>
      <c r="K83" s="32"/>
      <c r="L83" s="75"/>
      <c r="M83" s="75"/>
      <c r="R83" s="86">
        <v>0</v>
      </c>
      <c r="S83" s="78">
        <f t="shared" si="1"/>
        <v>0</v>
      </c>
    </row>
    <row r="84" spans="1:19" s="79" customFormat="1" ht="25.5">
      <c r="A84" s="76"/>
      <c r="B84" s="27"/>
      <c r="C84" s="27" t="s">
        <v>22</v>
      </c>
      <c r="D84" s="28" t="s">
        <v>303</v>
      </c>
      <c r="E84" s="42" t="s">
        <v>214</v>
      </c>
      <c r="F84" s="77"/>
      <c r="G84" s="41">
        <f>G85+G86+G89+G90+G91+G92</f>
        <v>159298</v>
      </c>
      <c r="H84" s="184"/>
      <c r="I84" s="78"/>
      <c r="K84" s="78"/>
      <c r="L84" s="80"/>
      <c r="M84" s="80"/>
      <c r="N84" s="81"/>
      <c r="O84" s="81"/>
      <c r="P84" s="81"/>
      <c r="Q84" s="81"/>
      <c r="R84" s="86">
        <v>2622</v>
      </c>
      <c r="S84" s="78">
        <f t="shared" si="1"/>
        <v>-2622</v>
      </c>
    </row>
    <row r="85" spans="1:19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88">
        <v>0</v>
      </c>
      <c r="H85" s="186"/>
      <c r="I85" s="78"/>
      <c r="K85" s="32"/>
      <c r="L85" s="75"/>
      <c r="M85" s="75"/>
      <c r="R85" s="93">
        <v>0</v>
      </c>
      <c r="S85" s="78">
        <f t="shared" si="1"/>
        <v>0</v>
      </c>
    </row>
    <row r="86" spans="1:19" ht="13.5">
      <c r="A86" s="26"/>
      <c r="B86" s="35"/>
      <c r="C86" s="35"/>
      <c r="D86" s="39" t="s">
        <v>304</v>
      </c>
      <c r="E86" s="29" t="s">
        <v>218</v>
      </c>
      <c r="F86" s="30"/>
      <c r="G86" s="88">
        <v>45354</v>
      </c>
      <c r="H86" s="186"/>
      <c r="I86" s="78"/>
      <c r="K86" s="32"/>
      <c r="L86" s="75"/>
      <c r="M86" s="75"/>
      <c r="R86" s="93">
        <v>0</v>
      </c>
      <c r="S86" s="78">
        <f t="shared" ref="S86:S117" si="2">H86-R86</f>
        <v>0</v>
      </c>
    </row>
    <row r="87" spans="1:19" ht="13.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88">
        <v>45354</v>
      </c>
      <c r="H87" s="186"/>
      <c r="I87" s="78"/>
      <c r="K87" s="32"/>
      <c r="L87" s="75"/>
      <c r="M87" s="75"/>
      <c r="R87" s="93">
        <v>0</v>
      </c>
      <c r="S87" s="78">
        <f t="shared" si="2"/>
        <v>0</v>
      </c>
    </row>
    <row r="88" spans="1:19" ht="13.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88">
        <v>0</v>
      </c>
      <c r="H88" s="186"/>
      <c r="I88" s="78"/>
      <c r="K88" s="32"/>
      <c r="L88" s="75"/>
      <c r="M88" s="75"/>
      <c r="R88" s="93">
        <v>0</v>
      </c>
      <c r="S88" s="78">
        <f t="shared" si="2"/>
        <v>0</v>
      </c>
    </row>
    <row r="89" spans="1:19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88">
        <v>5148</v>
      </c>
      <c r="H89" s="186"/>
      <c r="I89" s="78"/>
      <c r="K89" s="32"/>
      <c r="L89" s="75"/>
      <c r="M89" s="75"/>
      <c r="R89" s="93">
        <v>334</v>
      </c>
      <c r="S89" s="78">
        <f t="shared" si="2"/>
        <v>-334</v>
      </c>
    </row>
    <row r="90" spans="1:19" ht="13.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88">
        <v>0</v>
      </c>
      <c r="H90" s="186"/>
      <c r="I90" s="78"/>
      <c r="K90" s="32"/>
      <c r="L90" s="75"/>
      <c r="M90" s="75"/>
      <c r="R90" s="93">
        <v>0</v>
      </c>
      <c r="S90" s="78">
        <f t="shared" si="2"/>
        <v>0</v>
      </c>
    </row>
    <row r="91" spans="1:19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88">
        <v>108796</v>
      </c>
      <c r="H91" s="186"/>
      <c r="I91" s="78"/>
      <c r="K91" s="32"/>
      <c r="L91" s="75"/>
      <c r="M91" s="75"/>
      <c r="R91" s="93">
        <v>1033</v>
      </c>
      <c r="S91" s="78">
        <f t="shared" si="2"/>
        <v>-1033</v>
      </c>
    </row>
    <row r="92" spans="1:19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88">
        <v>0</v>
      </c>
      <c r="H92" s="186"/>
      <c r="I92" s="78"/>
      <c r="K92" s="32"/>
      <c r="L92" s="75"/>
      <c r="M92" s="75"/>
      <c r="R92" s="93">
        <v>1255</v>
      </c>
      <c r="S92" s="78">
        <f t="shared" si="2"/>
        <v>-1255</v>
      </c>
    </row>
    <row r="93" spans="1:19" s="79" customFormat="1" ht="13.5">
      <c r="A93" s="76"/>
      <c r="B93" s="27"/>
      <c r="C93" s="27" t="s">
        <v>54</v>
      </c>
      <c r="D93" s="28" t="s">
        <v>305</v>
      </c>
      <c r="E93" s="42" t="s">
        <v>233</v>
      </c>
      <c r="F93" s="77"/>
      <c r="G93" s="41">
        <f>IF((G73-G84)&gt;0,(G73-G84),0)</f>
        <v>87726</v>
      </c>
      <c r="H93" s="184"/>
      <c r="I93" s="78"/>
      <c r="K93" s="78"/>
      <c r="L93" s="80"/>
      <c r="M93" s="80"/>
      <c r="N93" s="81"/>
      <c r="O93" s="81"/>
      <c r="P93" s="81"/>
      <c r="Q93" s="81"/>
      <c r="R93" s="86">
        <v>221926</v>
      </c>
      <c r="S93" s="78">
        <f t="shared" si="2"/>
        <v>-221926</v>
      </c>
    </row>
    <row r="94" spans="1:19" s="79" customFormat="1" ht="13.5">
      <c r="A94" s="76"/>
      <c r="B94" s="27"/>
      <c r="C94" s="27" t="s">
        <v>55</v>
      </c>
      <c r="D94" s="28" t="s">
        <v>306</v>
      </c>
      <c r="E94" s="42" t="s">
        <v>234</v>
      </c>
      <c r="F94" s="77"/>
      <c r="G94" s="41">
        <f>IF((G73-G84)&lt;0,-(G73-G84),0)</f>
        <v>0</v>
      </c>
      <c r="H94" s="184"/>
      <c r="I94" s="78"/>
      <c r="K94" s="78"/>
      <c r="L94" s="80"/>
      <c r="M94" s="80"/>
      <c r="N94" s="81"/>
      <c r="O94" s="81"/>
      <c r="P94" s="81"/>
      <c r="Q94" s="81"/>
      <c r="R94" s="86"/>
      <c r="S94" s="78">
        <f t="shared" si="2"/>
        <v>0</v>
      </c>
    </row>
    <row r="95" spans="1:19" s="79" customFormat="1" ht="24.75" customHeight="1">
      <c r="A95" s="42"/>
      <c r="B95" s="48" t="s">
        <v>84</v>
      </c>
      <c r="C95" s="48"/>
      <c r="D95" s="49" t="s">
        <v>307</v>
      </c>
      <c r="E95" s="42" t="s">
        <v>235</v>
      </c>
      <c r="F95" s="77"/>
      <c r="G95" s="41">
        <f>G96+G101+G106-G107</f>
        <v>433860</v>
      </c>
      <c r="H95" s="184"/>
      <c r="I95" s="78"/>
      <c r="K95" s="78"/>
      <c r="L95" s="80"/>
      <c r="M95" s="80"/>
      <c r="N95" s="81"/>
      <c r="O95" s="81"/>
      <c r="P95" s="81"/>
      <c r="Q95" s="81"/>
      <c r="R95" s="86">
        <v>516823</v>
      </c>
      <c r="S95" s="78">
        <f t="shared" si="2"/>
        <v>-516823</v>
      </c>
    </row>
    <row r="96" spans="1:19" s="79" customFormat="1" ht="13.5" customHeight="1">
      <c r="A96" s="42"/>
      <c r="B96" s="27"/>
      <c r="C96" s="27"/>
      <c r="D96" s="28" t="s">
        <v>308</v>
      </c>
      <c r="E96" s="42" t="s">
        <v>236</v>
      </c>
      <c r="F96" s="82"/>
      <c r="G96" s="83">
        <f>G97+G98-G99+G100</f>
        <v>381584</v>
      </c>
      <c r="H96" s="185"/>
      <c r="I96" s="78"/>
      <c r="K96" s="78"/>
      <c r="L96" s="80"/>
      <c r="M96" s="80"/>
      <c r="N96" s="81"/>
      <c r="O96" s="81"/>
      <c r="P96" s="81"/>
      <c r="Q96" s="81"/>
      <c r="R96" s="87">
        <v>458826</v>
      </c>
      <c r="S96" s="78">
        <f t="shared" si="2"/>
        <v>-458826</v>
      </c>
    </row>
    <row r="97" spans="1:19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88">
        <v>830</v>
      </c>
      <c r="H97" s="186"/>
      <c r="I97" s="78"/>
      <c r="K97" s="32"/>
      <c r="L97" s="75"/>
      <c r="M97" s="75"/>
      <c r="R97" s="88">
        <v>1428</v>
      </c>
      <c r="S97" s="78">
        <f t="shared" si="2"/>
        <v>-1428</v>
      </c>
    </row>
    <row r="98" spans="1:19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88">
        <v>380754</v>
      </c>
      <c r="H98" s="186"/>
      <c r="I98" s="78"/>
      <c r="K98" s="32"/>
      <c r="L98" s="75"/>
      <c r="M98" s="75"/>
      <c r="R98" s="88">
        <v>457398</v>
      </c>
      <c r="S98" s="78">
        <f t="shared" si="2"/>
        <v>-457398</v>
      </c>
    </row>
    <row r="99" spans="1:19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88">
        <v>0</v>
      </c>
      <c r="H99" s="186"/>
      <c r="I99" s="78"/>
      <c r="K99" s="32"/>
      <c r="L99" s="75"/>
      <c r="M99" s="75"/>
      <c r="R99" s="88">
        <v>0</v>
      </c>
      <c r="S99" s="78">
        <f t="shared" si="2"/>
        <v>0</v>
      </c>
    </row>
    <row r="100" spans="1:19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88">
        <v>0</v>
      </c>
      <c r="H100" s="186"/>
      <c r="I100" s="78"/>
      <c r="K100" s="32"/>
      <c r="L100" s="75"/>
      <c r="M100" s="75"/>
      <c r="R100" s="88">
        <v>0</v>
      </c>
      <c r="S100" s="78">
        <f t="shared" si="2"/>
        <v>0</v>
      </c>
    </row>
    <row r="101" spans="1:19" s="79" customFormat="1" ht="15" customHeight="1">
      <c r="A101" s="42"/>
      <c r="B101" s="27"/>
      <c r="C101" s="27"/>
      <c r="D101" s="28" t="s">
        <v>309</v>
      </c>
      <c r="E101" s="42" t="s">
        <v>241</v>
      </c>
      <c r="F101" s="82"/>
      <c r="G101" s="83">
        <f>G102+G103+G104+G105</f>
        <v>48613</v>
      </c>
      <c r="H101" s="185"/>
      <c r="I101" s="78"/>
      <c r="K101" s="78"/>
      <c r="L101" s="80"/>
      <c r="M101" s="80"/>
      <c r="N101" s="81"/>
      <c r="O101" s="81"/>
      <c r="P101" s="81"/>
      <c r="Q101" s="81"/>
      <c r="R101" s="87">
        <v>55649</v>
      </c>
      <c r="S101" s="78">
        <f t="shared" si="2"/>
        <v>-55649</v>
      </c>
    </row>
    <row r="102" spans="1:19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88">
        <v>28873</v>
      </c>
      <c r="H102" s="186"/>
      <c r="I102" s="78"/>
      <c r="K102" s="32"/>
      <c r="L102" s="75"/>
      <c r="M102" s="75"/>
      <c r="R102" s="88">
        <v>28688</v>
      </c>
      <c r="S102" s="78">
        <f t="shared" si="2"/>
        <v>-28688</v>
      </c>
    </row>
    <row r="103" spans="1:19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88">
        <v>7438</v>
      </c>
      <c r="H103" s="186"/>
      <c r="I103" s="78"/>
      <c r="K103" s="32"/>
      <c r="L103" s="75"/>
      <c r="M103" s="75"/>
      <c r="R103" s="88">
        <v>5341</v>
      </c>
      <c r="S103" s="78">
        <f t="shared" si="2"/>
        <v>-5341</v>
      </c>
    </row>
    <row r="104" spans="1:19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88">
        <v>0</v>
      </c>
      <c r="H104" s="186"/>
      <c r="I104" s="78"/>
      <c r="K104" s="32"/>
      <c r="L104" s="75"/>
      <c r="M104" s="75"/>
      <c r="R104" s="88">
        <v>0</v>
      </c>
      <c r="S104" s="78">
        <f t="shared" si="2"/>
        <v>0</v>
      </c>
    </row>
    <row r="105" spans="1:19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88">
        <v>12302</v>
      </c>
      <c r="H105" s="186"/>
      <c r="I105" s="78"/>
      <c r="K105" s="32"/>
      <c r="L105" s="75"/>
      <c r="M105" s="75"/>
      <c r="R105" s="88">
        <v>21620</v>
      </c>
      <c r="S105" s="78">
        <f t="shared" si="2"/>
        <v>-21620</v>
      </c>
    </row>
    <row r="106" spans="1:19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7">
        <v>3966</v>
      </c>
      <c r="H106" s="185"/>
      <c r="I106" s="78"/>
      <c r="K106" s="32"/>
      <c r="L106" s="75"/>
      <c r="M106" s="75"/>
      <c r="R106" s="87">
        <v>3847</v>
      </c>
      <c r="S106" s="78">
        <f t="shared" si="2"/>
        <v>-3847</v>
      </c>
    </row>
    <row r="107" spans="1:19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7">
        <v>303</v>
      </c>
      <c r="H107" s="185"/>
      <c r="I107" s="78"/>
      <c r="K107" s="32"/>
      <c r="L107" s="75"/>
      <c r="M107" s="75"/>
      <c r="R107" s="87">
        <v>1499</v>
      </c>
      <c r="S107" s="78">
        <f t="shared" si="2"/>
        <v>-1499</v>
      </c>
    </row>
    <row r="108" spans="1:19" s="79" customFormat="1" ht="25.5">
      <c r="A108" s="76"/>
      <c r="B108" s="27"/>
      <c r="C108" s="27" t="s">
        <v>12</v>
      </c>
      <c r="D108" s="28" t="s">
        <v>310</v>
      </c>
      <c r="E108" s="42" t="s">
        <v>248</v>
      </c>
      <c r="F108" s="77"/>
      <c r="G108" s="191">
        <f>IF((G70+G93-G71-G94-G95)&gt;0,(G70+G93-G71-G94-G95),0)</f>
        <v>0</v>
      </c>
      <c r="H108" s="188"/>
      <c r="I108" s="78"/>
      <c r="K108" s="78"/>
      <c r="L108" s="80"/>
      <c r="M108" s="80"/>
      <c r="N108" s="81"/>
      <c r="O108" s="81"/>
      <c r="P108" s="81"/>
      <c r="Q108" s="81"/>
      <c r="R108" s="90">
        <v>85126</v>
      </c>
      <c r="S108" s="78">
        <f t="shared" si="2"/>
        <v>-85126</v>
      </c>
    </row>
    <row r="109" spans="1:19" s="79" customFormat="1" ht="25.5">
      <c r="A109" s="76"/>
      <c r="B109" s="27"/>
      <c r="C109" s="27" t="s">
        <v>22</v>
      </c>
      <c r="D109" s="28" t="s">
        <v>311</v>
      </c>
      <c r="E109" s="42" t="s">
        <v>249</v>
      </c>
      <c r="F109" s="77"/>
      <c r="G109" s="191">
        <f>IF((G70+G93-G71-G94-G95)&lt;0,-(G70+G93-G71-G94-G95),0)</f>
        <v>66091</v>
      </c>
      <c r="H109" s="188"/>
      <c r="I109" s="78"/>
      <c r="K109" s="78"/>
      <c r="L109" s="80"/>
      <c r="M109" s="80"/>
      <c r="N109" s="81"/>
      <c r="O109" s="81"/>
      <c r="P109" s="81"/>
      <c r="Q109" s="81"/>
      <c r="R109" s="90"/>
      <c r="S109" s="78">
        <f t="shared" si="2"/>
        <v>0</v>
      </c>
    </row>
    <row r="110" spans="1:19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7">
        <v>34304</v>
      </c>
      <c r="H110" s="185"/>
      <c r="I110" s="78"/>
      <c r="K110" s="32"/>
      <c r="L110" s="75"/>
      <c r="M110" s="75"/>
      <c r="R110" s="87">
        <v>100822</v>
      </c>
      <c r="S110" s="78">
        <f t="shared" si="2"/>
        <v>-100822</v>
      </c>
    </row>
    <row r="111" spans="1:19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7">
        <v>12784</v>
      </c>
      <c r="H111" s="185"/>
      <c r="I111" s="78"/>
      <c r="K111" s="32"/>
      <c r="L111" s="75"/>
      <c r="M111" s="75"/>
      <c r="R111" s="87">
        <v>1633</v>
      </c>
      <c r="S111" s="78">
        <f t="shared" si="2"/>
        <v>-1633</v>
      </c>
    </row>
    <row r="112" spans="1:19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7">
        <v>2274</v>
      </c>
      <c r="H112" s="185"/>
      <c r="I112" s="78"/>
      <c r="K112" s="32"/>
      <c r="L112" s="75"/>
      <c r="M112" s="75"/>
      <c r="R112" s="87">
        <v>1065</v>
      </c>
      <c r="S112" s="78">
        <f t="shared" si="2"/>
        <v>-1065</v>
      </c>
    </row>
    <row r="113" spans="1:19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7">
        <v>151557</v>
      </c>
      <c r="H113" s="185"/>
      <c r="I113" s="78"/>
      <c r="K113" s="32"/>
      <c r="L113" s="75"/>
      <c r="M113" s="75"/>
      <c r="R113" s="87">
        <v>237247</v>
      </c>
      <c r="S113" s="78">
        <f t="shared" si="2"/>
        <v>-237247</v>
      </c>
    </row>
    <row r="114" spans="1:19" ht="13.5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7">
        <f>1873+2</f>
        <v>1875</v>
      </c>
      <c r="H114" s="185"/>
      <c r="I114" s="78"/>
      <c r="K114" s="32"/>
      <c r="L114" s="75"/>
      <c r="M114" s="75"/>
      <c r="R114" s="87">
        <v>7533</v>
      </c>
      <c r="S114" s="78">
        <f t="shared" si="2"/>
        <v>-7533</v>
      </c>
    </row>
    <row r="115" spans="1:19" ht="13.5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7">
        <f>844</f>
        <v>844</v>
      </c>
      <c r="H115" s="185"/>
      <c r="I115" s="78"/>
      <c r="K115" s="32"/>
      <c r="L115" s="75"/>
      <c r="M115" s="75"/>
      <c r="R115" s="87">
        <v>674</v>
      </c>
      <c r="S115" s="78">
        <f t="shared" si="2"/>
        <v>-674</v>
      </c>
    </row>
    <row r="116" spans="1:19" s="79" customFormat="1" ht="38.25">
      <c r="A116" s="76"/>
      <c r="B116" s="27"/>
      <c r="C116" s="27" t="s">
        <v>81</v>
      </c>
      <c r="D116" s="28" t="s">
        <v>312</v>
      </c>
      <c r="E116" s="42" t="s">
        <v>267</v>
      </c>
      <c r="F116" s="77"/>
      <c r="G116" s="191">
        <f>IF((G108+G110+G112+G114-G109-G111-G113-G115)&gt;0,(G108+G110+G112+G114-G109-G111-G113-G115),0)</f>
        <v>0</v>
      </c>
      <c r="H116" s="188"/>
      <c r="I116" s="78"/>
      <c r="K116" s="78"/>
      <c r="L116" s="80"/>
      <c r="M116" s="80"/>
      <c r="N116" s="81"/>
      <c r="O116" s="81"/>
      <c r="P116" s="81"/>
      <c r="Q116" s="81"/>
      <c r="R116" s="90"/>
      <c r="S116" s="78">
        <f t="shared" si="2"/>
        <v>0</v>
      </c>
    </row>
    <row r="117" spans="1:19" s="79" customFormat="1" ht="38.25">
      <c r="A117" s="76"/>
      <c r="B117" s="27"/>
      <c r="C117" s="27" t="s">
        <v>83</v>
      </c>
      <c r="D117" s="28" t="s">
        <v>313</v>
      </c>
      <c r="E117" s="42" t="s">
        <v>268</v>
      </c>
      <c r="F117" s="77"/>
      <c r="G117" s="41">
        <f>IF((G108+G110+G112+G114-G109-G111-G113-G115)&lt;0,-(G108+G110+G112+G114-G109-G111-G113-G115),0)</f>
        <v>192823</v>
      </c>
      <c r="H117" s="184"/>
      <c r="I117" s="78"/>
      <c r="K117" s="78"/>
      <c r="L117" s="80"/>
      <c r="M117" s="80"/>
      <c r="N117" s="81"/>
      <c r="O117" s="81"/>
      <c r="P117" s="81"/>
      <c r="Q117" s="81"/>
      <c r="R117" s="86">
        <v>45008</v>
      </c>
      <c r="S117" s="78">
        <f t="shared" si="2"/>
        <v>-45008</v>
      </c>
    </row>
    <row r="118" spans="1:19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7">
        <v>0</v>
      </c>
      <c r="H118" s="185"/>
      <c r="I118" s="78"/>
      <c r="K118" s="32"/>
      <c r="L118" s="75"/>
      <c r="M118" s="75"/>
      <c r="R118" s="87"/>
      <c r="S118" s="78">
        <f t="shared" ref="S118:S134" si="3">H118-R118</f>
        <v>0</v>
      </c>
    </row>
    <row r="119" spans="1:19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7">
        <v>35</v>
      </c>
      <c r="H119" s="185"/>
      <c r="I119" s="78"/>
      <c r="K119" s="32"/>
      <c r="L119" s="75"/>
      <c r="M119" s="75"/>
      <c r="R119" s="87"/>
      <c r="S119" s="78">
        <f t="shared" si="3"/>
        <v>0</v>
      </c>
    </row>
    <row r="120" spans="1:19" s="79" customFormat="1" ht="25.5" customHeight="1">
      <c r="A120" s="42"/>
      <c r="B120" s="27" t="s">
        <v>85</v>
      </c>
      <c r="C120" s="27"/>
      <c r="D120" s="28" t="s">
        <v>316</v>
      </c>
      <c r="E120" s="42" t="s">
        <v>278</v>
      </c>
      <c r="F120" s="82"/>
      <c r="G120" s="83">
        <f>IF((G116+G118-G117-G119)&gt;0,(G116+G118-G117-G119),0)</f>
        <v>0</v>
      </c>
      <c r="H120" s="185"/>
      <c r="I120" s="78"/>
      <c r="K120" s="78"/>
      <c r="L120" s="80"/>
      <c r="M120" s="80"/>
      <c r="N120" s="81"/>
      <c r="O120" s="81"/>
      <c r="P120" s="81"/>
      <c r="Q120" s="81"/>
      <c r="R120" s="87"/>
      <c r="S120" s="78">
        <f t="shared" si="3"/>
        <v>0</v>
      </c>
    </row>
    <row r="121" spans="1:19" s="79" customFormat="1" ht="25.5" customHeight="1">
      <c r="A121" s="42"/>
      <c r="B121" s="27" t="s">
        <v>86</v>
      </c>
      <c r="C121" s="27"/>
      <c r="D121" s="28" t="s">
        <v>317</v>
      </c>
      <c r="E121" s="42" t="s">
        <v>279</v>
      </c>
      <c r="F121" s="82"/>
      <c r="G121" s="83">
        <f>IF((G116+G118-G117-G119)&lt;0,-(G116+G118-G117-G119),0)</f>
        <v>192858</v>
      </c>
      <c r="H121" s="185"/>
      <c r="I121" s="78"/>
      <c r="K121" s="78"/>
      <c r="L121" s="80"/>
      <c r="M121" s="80"/>
      <c r="N121" s="81"/>
      <c r="O121" s="81"/>
      <c r="P121" s="81"/>
      <c r="Q121" s="81"/>
      <c r="R121" s="87">
        <v>45008</v>
      </c>
      <c r="S121" s="78">
        <f t="shared" si="3"/>
        <v>-45008</v>
      </c>
    </row>
    <row r="122" spans="1:19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88"/>
      <c r="H122" s="186"/>
      <c r="I122" s="78"/>
      <c r="K122" s="32"/>
      <c r="L122" s="75"/>
      <c r="M122" s="75"/>
      <c r="R122" s="88">
        <v>0</v>
      </c>
      <c r="S122" s="78">
        <f t="shared" si="3"/>
        <v>0</v>
      </c>
    </row>
    <row r="123" spans="1:19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88">
        <v>0</v>
      </c>
      <c r="H123" s="186"/>
      <c r="I123" s="78"/>
      <c r="K123" s="32"/>
      <c r="L123" s="75"/>
      <c r="M123" s="75"/>
      <c r="R123" s="88"/>
      <c r="S123" s="78">
        <f t="shared" si="3"/>
        <v>0</v>
      </c>
    </row>
    <row r="124" spans="1:19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88">
        <v>0</v>
      </c>
      <c r="H124" s="186"/>
      <c r="I124" s="78"/>
      <c r="K124" s="32"/>
      <c r="L124" s="75"/>
      <c r="M124" s="75"/>
      <c r="R124" s="88">
        <v>0</v>
      </c>
      <c r="S124" s="78">
        <f t="shared" si="3"/>
        <v>0</v>
      </c>
    </row>
    <row r="125" spans="1:19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88">
        <v>0</v>
      </c>
      <c r="H125" s="186"/>
      <c r="I125" s="78"/>
      <c r="K125" s="32"/>
      <c r="L125" s="75"/>
      <c r="M125" s="75"/>
      <c r="R125" s="88"/>
      <c r="S125" s="78">
        <f t="shared" si="3"/>
        <v>0</v>
      </c>
    </row>
    <row r="126" spans="1:19" ht="13.5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90" t="s">
        <v>330</v>
      </c>
      <c r="H126" s="188"/>
      <c r="I126" s="78"/>
      <c r="K126" s="32"/>
      <c r="L126" s="75"/>
      <c r="M126" s="101"/>
      <c r="R126" s="90" t="s">
        <v>330</v>
      </c>
      <c r="S126" s="78">
        <f t="shared" si="3"/>
        <v>0</v>
      </c>
    </row>
    <row r="127" spans="1:19" ht="13.5">
      <c r="A127" s="29"/>
      <c r="B127" s="27"/>
      <c r="C127" s="27"/>
      <c r="D127" s="53" t="s">
        <v>272</v>
      </c>
      <c r="E127" s="29" t="s">
        <v>284</v>
      </c>
      <c r="F127" s="30"/>
      <c r="G127" s="86"/>
      <c r="H127" s="184"/>
      <c r="I127" s="78"/>
      <c r="K127" s="32"/>
      <c r="L127" s="75"/>
      <c r="M127" s="75"/>
      <c r="R127" s="86"/>
      <c r="S127" s="78">
        <f t="shared" si="3"/>
        <v>0</v>
      </c>
    </row>
    <row r="128" spans="1:19" ht="13.5">
      <c r="A128" s="29"/>
      <c r="B128" s="27"/>
      <c r="C128" s="27"/>
      <c r="D128" s="53" t="s">
        <v>273</v>
      </c>
      <c r="E128" s="29" t="s">
        <v>285</v>
      </c>
      <c r="F128" s="30"/>
      <c r="G128" s="86"/>
      <c r="H128" s="184"/>
      <c r="I128" s="78"/>
      <c r="K128" s="32"/>
      <c r="L128" s="75"/>
      <c r="M128" s="75"/>
      <c r="R128" s="86"/>
      <c r="S128" s="78">
        <f t="shared" si="3"/>
        <v>0</v>
      </c>
    </row>
    <row r="129" spans="1:19" ht="13.5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90">
        <f>G121-G120+G123+G125</f>
        <v>192858</v>
      </c>
      <c r="H129" s="188"/>
      <c r="I129" s="78"/>
      <c r="K129" s="32"/>
      <c r="L129" s="75"/>
      <c r="M129" s="101"/>
      <c r="R129" s="86">
        <v>45008</v>
      </c>
      <c r="S129" s="78">
        <f t="shared" si="3"/>
        <v>-45008</v>
      </c>
    </row>
    <row r="130" spans="1:19" ht="13.5">
      <c r="A130" s="29"/>
      <c r="B130" s="27"/>
      <c r="C130" s="27"/>
      <c r="D130" s="39" t="s">
        <v>274</v>
      </c>
      <c r="E130" s="29" t="s">
        <v>287</v>
      </c>
      <c r="F130" s="30"/>
      <c r="G130" s="88">
        <v>0</v>
      </c>
      <c r="H130" s="186"/>
      <c r="I130" s="78"/>
      <c r="K130" s="32"/>
      <c r="L130" s="75"/>
      <c r="M130" s="75"/>
      <c r="R130" s="88">
        <v>0</v>
      </c>
      <c r="S130" s="78">
        <f t="shared" si="3"/>
        <v>0</v>
      </c>
    </row>
    <row r="131" spans="1:19" ht="13.5">
      <c r="A131" s="29"/>
      <c r="B131" s="27"/>
      <c r="C131" s="27"/>
      <c r="D131" s="39" t="s">
        <v>275</v>
      </c>
      <c r="E131" s="29" t="s">
        <v>288</v>
      </c>
      <c r="F131" s="30"/>
      <c r="G131" s="88">
        <v>0</v>
      </c>
      <c r="H131" s="186"/>
      <c r="I131" s="78"/>
      <c r="K131" s="32"/>
      <c r="L131" s="75"/>
      <c r="M131" s="75"/>
      <c r="R131" s="88">
        <v>0</v>
      </c>
      <c r="S131" s="78">
        <f t="shared" si="3"/>
        <v>0</v>
      </c>
    </row>
    <row r="132" spans="1:19" ht="13.5">
      <c r="A132" s="29"/>
      <c r="B132" s="27" t="s">
        <v>93</v>
      </c>
      <c r="C132" s="27"/>
      <c r="D132" s="28" t="s">
        <v>94</v>
      </c>
      <c r="E132" s="29"/>
      <c r="F132" s="30"/>
      <c r="G132" s="88">
        <v>0</v>
      </c>
      <c r="H132" s="186"/>
      <c r="I132" s="78"/>
      <c r="K132" s="32"/>
      <c r="L132" s="75"/>
      <c r="M132" s="75"/>
      <c r="R132" s="88">
        <v>0</v>
      </c>
      <c r="S132" s="78">
        <f t="shared" si="3"/>
        <v>0</v>
      </c>
    </row>
    <row r="133" spans="1:19" ht="13.5">
      <c r="A133" s="29"/>
      <c r="B133" s="27"/>
      <c r="C133" s="27"/>
      <c r="D133" s="39" t="s">
        <v>276</v>
      </c>
      <c r="E133" s="29" t="s">
        <v>289</v>
      </c>
      <c r="F133" s="30"/>
      <c r="G133" s="88">
        <v>0</v>
      </c>
      <c r="H133" s="186"/>
      <c r="I133" s="78"/>
      <c r="K133" s="32"/>
      <c r="L133" s="75"/>
      <c r="M133" s="75"/>
      <c r="R133" s="88">
        <v>0</v>
      </c>
      <c r="S133" s="78">
        <f t="shared" si="3"/>
        <v>0</v>
      </c>
    </row>
    <row r="134" spans="1:19" ht="25.5">
      <c r="A134" s="29"/>
      <c r="B134" s="27"/>
      <c r="C134" s="27"/>
      <c r="D134" s="39" t="s">
        <v>277</v>
      </c>
      <c r="E134" s="29" t="s">
        <v>290</v>
      </c>
      <c r="F134" s="30"/>
      <c r="G134" s="88">
        <v>0</v>
      </c>
      <c r="H134" s="186"/>
      <c r="I134" s="78"/>
      <c r="K134" s="32"/>
      <c r="L134" s="75"/>
      <c r="M134" s="75"/>
      <c r="R134" s="88">
        <v>0</v>
      </c>
      <c r="S134" s="78">
        <f t="shared" si="3"/>
        <v>0</v>
      </c>
    </row>
    <row r="135" spans="1:19" ht="13.5" customHeight="1">
      <c r="H135" s="32"/>
      <c r="K135" s="32"/>
      <c r="L135" s="75"/>
    </row>
    <row r="136" spans="1:19">
      <c r="K136" s="32"/>
      <c r="L136" s="75"/>
    </row>
    <row r="137" spans="1:19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K137" s="32"/>
      <c r="L137" s="75"/>
    </row>
    <row r="138" spans="1:19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K138" s="32"/>
      <c r="L138" s="75"/>
    </row>
    <row r="139" spans="1:19">
      <c r="A139" s="1"/>
      <c r="B139" s="2"/>
      <c r="C139" s="58"/>
      <c r="D139" s="59"/>
      <c r="E139" s="60"/>
      <c r="F139" s="60"/>
      <c r="G139" s="61"/>
      <c r="H139" s="61"/>
      <c r="K139" s="32"/>
      <c r="L139" s="75"/>
    </row>
    <row r="140" spans="1:19">
      <c r="A140" s="62"/>
      <c r="B140" s="63"/>
      <c r="C140" s="64"/>
      <c r="D140" s="64"/>
      <c r="E140" s="64"/>
      <c r="F140" s="64"/>
      <c r="G140" s="65"/>
      <c r="H140" s="65"/>
      <c r="K140" s="32"/>
      <c r="L140" s="75"/>
    </row>
    <row r="141" spans="1:19">
      <c r="A141" s="1"/>
      <c r="B141" s="2"/>
      <c r="C141" s="58"/>
      <c r="D141" s="59"/>
      <c r="E141" s="60"/>
      <c r="F141" s="60"/>
      <c r="G141" s="66"/>
      <c r="H141" s="66"/>
      <c r="K141" s="32"/>
      <c r="L141" s="75"/>
    </row>
    <row r="142" spans="1:19">
      <c r="A142" s="1"/>
      <c r="B142" s="2"/>
      <c r="C142" s="58"/>
      <c r="D142" s="59"/>
      <c r="E142" s="60"/>
      <c r="F142" s="60"/>
      <c r="G142" s="61"/>
      <c r="H142" s="61"/>
      <c r="K142" s="32"/>
      <c r="L142" s="75"/>
    </row>
    <row r="143" spans="1:19">
      <c r="A143" s="1"/>
      <c r="B143" s="2"/>
      <c r="C143" s="58"/>
      <c r="D143" s="59"/>
      <c r="E143" s="60"/>
      <c r="F143" s="60"/>
      <c r="G143" s="61"/>
      <c r="H143" s="61"/>
      <c r="K143" s="32"/>
      <c r="L143" s="75"/>
    </row>
    <row r="144" spans="1:19">
      <c r="A144" s="1"/>
      <c r="B144" s="2"/>
      <c r="C144" s="58"/>
      <c r="D144" s="59"/>
      <c r="E144" s="60"/>
      <c r="F144" s="60"/>
      <c r="G144" s="61"/>
      <c r="H144" s="61"/>
      <c r="K144" s="32"/>
      <c r="L144" s="75"/>
    </row>
    <row r="145" spans="1:12">
      <c r="A145" s="1"/>
      <c r="B145" s="2"/>
      <c r="C145" s="58"/>
      <c r="D145" s="59"/>
      <c r="E145" s="60"/>
      <c r="F145" s="60"/>
      <c r="G145" s="61"/>
      <c r="H145" s="61"/>
      <c r="K145" s="32"/>
      <c r="L145" s="75"/>
    </row>
    <row r="146" spans="1:12">
      <c r="A146" s="1"/>
      <c r="B146" s="2"/>
      <c r="C146" s="58"/>
      <c r="D146" s="59"/>
      <c r="E146" s="60"/>
      <c r="F146" s="60"/>
      <c r="G146" s="61"/>
      <c r="H146" s="61"/>
      <c r="K146" s="32"/>
      <c r="L146" s="75"/>
    </row>
    <row r="147" spans="1:12">
      <c r="A147" s="1"/>
      <c r="B147" s="2"/>
      <c r="C147" s="58"/>
      <c r="D147" s="59"/>
      <c r="E147" s="60"/>
      <c r="F147" s="60"/>
      <c r="G147" s="61"/>
      <c r="H147" s="61"/>
      <c r="K147" s="32"/>
      <c r="L147" s="75"/>
    </row>
    <row r="148" spans="1:12">
      <c r="A148" s="1"/>
      <c r="B148" s="2"/>
      <c r="C148" s="58"/>
      <c r="D148" s="59"/>
      <c r="E148" s="60"/>
      <c r="F148" s="60"/>
      <c r="G148" s="67"/>
      <c r="H148" s="61"/>
      <c r="K148" s="32"/>
      <c r="L148" s="75"/>
    </row>
    <row r="149" spans="1:12">
      <c r="A149" s="1"/>
      <c r="B149" s="2"/>
      <c r="C149" s="58"/>
      <c r="D149" s="59"/>
      <c r="E149" s="60"/>
      <c r="F149" s="60"/>
      <c r="G149" s="61"/>
      <c r="H149" s="61"/>
      <c r="K149" s="32"/>
      <c r="L149" s="75"/>
    </row>
    <row r="150" spans="1:12">
      <c r="A150" s="1"/>
      <c r="B150" s="2"/>
      <c r="C150" s="58"/>
      <c r="D150" s="59"/>
      <c r="E150" s="60"/>
      <c r="F150" s="60"/>
      <c r="G150" s="61"/>
      <c r="H150" s="61"/>
      <c r="K150" s="32"/>
      <c r="L150" s="75"/>
    </row>
    <row r="151" spans="1:12">
      <c r="A151" s="1"/>
      <c r="B151" s="2"/>
      <c r="C151" s="58"/>
      <c r="D151" s="59"/>
      <c r="E151" s="60"/>
      <c r="F151" s="60"/>
      <c r="G151" s="61"/>
      <c r="H151" s="61"/>
      <c r="K151" s="32"/>
      <c r="L151" s="75"/>
    </row>
    <row r="152" spans="1:12">
      <c r="A152" s="1"/>
      <c r="B152" s="2"/>
      <c r="C152" s="58"/>
      <c r="D152" s="59"/>
      <c r="E152" s="60"/>
      <c r="F152" s="60"/>
      <c r="G152" s="61"/>
      <c r="H152" s="61"/>
      <c r="K152" s="32"/>
      <c r="L152" s="75"/>
    </row>
    <row r="153" spans="1:12">
      <c r="A153" s="1"/>
      <c r="B153" s="2"/>
      <c r="C153" s="58"/>
      <c r="D153" s="59"/>
      <c r="E153" s="60"/>
      <c r="F153" s="60"/>
      <c r="G153" s="61"/>
      <c r="H153" s="61"/>
      <c r="K153" s="32"/>
      <c r="L153" s="75"/>
    </row>
    <row r="154" spans="1:12">
      <c r="A154" s="1"/>
      <c r="B154" s="2"/>
      <c r="C154" s="58"/>
      <c r="D154" s="59"/>
      <c r="E154" s="60"/>
      <c r="F154" s="60"/>
      <c r="G154" s="61"/>
      <c r="H154" s="61"/>
      <c r="K154" s="32"/>
      <c r="L154" s="75"/>
    </row>
    <row r="155" spans="1:12">
      <c r="A155" s="1"/>
      <c r="B155" s="2"/>
      <c r="C155" s="58"/>
      <c r="D155" s="59"/>
      <c r="E155" s="60"/>
      <c r="F155" s="60"/>
      <c r="G155" s="61"/>
      <c r="H155" s="61"/>
      <c r="K155" s="32"/>
      <c r="L155" s="75"/>
    </row>
    <row r="156" spans="1:12">
      <c r="A156" s="1"/>
      <c r="B156" s="2"/>
      <c r="C156" s="58"/>
      <c r="D156" s="59"/>
      <c r="E156" s="60"/>
      <c r="F156" s="60"/>
      <c r="G156" s="61"/>
      <c r="H156" s="61"/>
      <c r="K156" s="32"/>
      <c r="L156" s="75"/>
    </row>
    <row r="157" spans="1:12">
      <c r="A157" s="1"/>
      <c r="B157" s="2"/>
      <c r="C157" s="58"/>
      <c r="D157" s="59"/>
      <c r="E157" s="60"/>
      <c r="F157" s="60"/>
      <c r="G157" s="61"/>
      <c r="H157" s="61"/>
      <c r="K157" s="32"/>
      <c r="L157" s="75"/>
    </row>
    <row r="158" spans="1:12">
      <c r="A158" s="1"/>
      <c r="B158" s="2"/>
      <c r="C158" s="58"/>
      <c r="D158" s="59"/>
      <c r="E158" s="60"/>
      <c r="F158" s="60"/>
      <c r="G158" s="61"/>
      <c r="H158" s="61"/>
      <c r="K158" s="32"/>
      <c r="L158" s="75"/>
    </row>
    <row r="159" spans="1:12">
      <c r="A159" s="1"/>
      <c r="B159" s="2"/>
      <c r="C159" s="58"/>
      <c r="D159" s="59"/>
      <c r="E159" s="60"/>
      <c r="F159" s="60"/>
      <c r="G159" s="61"/>
      <c r="H159" s="61"/>
      <c r="K159" s="32"/>
      <c r="L159" s="75"/>
    </row>
    <row r="160" spans="1:12">
      <c r="A160" s="1"/>
      <c r="B160" s="2"/>
      <c r="C160" s="58"/>
      <c r="D160" s="59"/>
      <c r="E160" s="60"/>
      <c r="F160" s="60"/>
      <c r="G160" s="61"/>
      <c r="H160" s="61"/>
      <c r="K160" s="32"/>
      <c r="L160" s="75"/>
    </row>
    <row r="161" spans="1:12">
      <c r="A161" s="1"/>
      <c r="B161" s="2"/>
      <c r="C161" s="58"/>
      <c r="D161" s="59"/>
      <c r="E161" s="60"/>
      <c r="F161" s="60"/>
      <c r="G161" s="61"/>
      <c r="H161" s="61"/>
      <c r="K161" s="32"/>
      <c r="L161" s="75"/>
    </row>
    <row r="162" spans="1:12">
      <c r="A162" s="1"/>
      <c r="B162" s="2"/>
      <c r="C162" s="58"/>
      <c r="D162" s="59"/>
      <c r="E162" s="60"/>
      <c r="F162" s="60"/>
      <c r="G162" s="61"/>
      <c r="H162" s="61"/>
      <c r="K162" s="32"/>
      <c r="L162" s="75"/>
    </row>
    <row r="163" spans="1:12">
      <c r="A163" s="1"/>
      <c r="B163" s="2"/>
      <c r="C163" s="58"/>
      <c r="D163" s="59"/>
      <c r="E163" s="60"/>
      <c r="F163" s="60"/>
      <c r="G163" s="61"/>
      <c r="H163" s="61"/>
      <c r="K163" s="32"/>
      <c r="L163" s="75"/>
    </row>
    <row r="164" spans="1:12">
      <c r="A164" s="1"/>
      <c r="B164" s="2"/>
      <c r="C164" s="58"/>
      <c r="D164" s="59"/>
      <c r="E164" s="60"/>
      <c r="F164" s="60"/>
      <c r="G164" s="61"/>
      <c r="H164" s="61"/>
      <c r="K164" s="32"/>
      <c r="L164" s="75"/>
    </row>
    <row r="165" spans="1:12">
      <c r="A165" s="1"/>
      <c r="B165" s="2"/>
      <c r="C165" s="58"/>
      <c r="D165" s="59"/>
      <c r="E165" s="60"/>
      <c r="F165" s="60"/>
      <c r="G165" s="61"/>
      <c r="H165" s="61"/>
      <c r="K165" s="32"/>
      <c r="L165" s="75"/>
    </row>
    <row r="166" spans="1:12">
      <c r="A166" s="1"/>
      <c r="B166" s="2"/>
      <c r="C166" s="3"/>
      <c r="D166" s="68"/>
      <c r="E166" s="4"/>
      <c r="F166" s="4"/>
      <c r="K166" s="32"/>
      <c r="L166" s="75"/>
    </row>
    <row r="167" spans="1:12">
      <c r="A167" s="1"/>
      <c r="B167" s="2"/>
      <c r="C167" s="3"/>
      <c r="D167" s="68"/>
      <c r="E167" s="4"/>
      <c r="F167" s="4"/>
      <c r="K167" s="32"/>
      <c r="L167" s="75"/>
    </row>
    <row r="168" spans="1:12">
      <c r="A168" s="1"/>
      <c r="B168" s="2"/>
      <c r="C168" s="3"/>
      <c r="D168" s="68"/>
      <c r="E168" s="4"/>
      <c r="F168" s="4"/>
      <c r="K168" s="32"/>
      <c r="L168" s="75"/>
    </row>
    <row r="169" spans="1:12">
      <c r="A169" s="1"/>
      <c r="B169" s="2"/>
      <c r="C169" s="3"/>
      <c r="D169" s="68"/>
      <c r="E169" s="4"/>
      <c r="F169" s="4"/>
      <c r="K169" s="32"/>
      <c r="L169" s="75"/>
    </row>
    <row r="170" spans="1:12">
      <c r="A170" s="1"/>
      <c r="B170" s="2"/>
      <c r="C170" s="3"/>
      <c r="D170" s="68"/>
      <c r="E170" s="4"/>
      <c r="F170" s="4"/>
      <c r="K170" s="32"/>
      <c r="L170" s="75"/>
    </row>
    <row r="171" spans="1:12">
      <c r="A171" s="1"/>
      <c r="B171" s="2"/>
      <c r="C171" s="3"/>
      <c r="D171" s="68"/>
      <c r="E171" s="4"/>
      <c r="F171" s="4"/>
      <c r="K171" s="32"/>
      <c r="L171" s="75"/>
    </row>
    <row r="172" spans="1:12">
      <c r="A172" s="1"/>
      <c r="B172" s="2"/>
      <c r="C172" s="3"/>
      <c r="D172" s="68"/>
      <c r="E172" s="4"/>
      <c r="F172" s="4"/>
      <c r="K172" s="32"/>
      <c r="L172" s="75"/>
    </row>
    <row r="173" spans="1:12">
      <c r="A173" s="1"/>
      <c r="B173" s="2"/>
      <c r="C173" s="3"/>
      <c r="D173" s="68"/>
      <c r="E173" s="4"/>
      <c r="F173" s="4"/>
      <c r="K173" s="32"/>
      <c r="L173" s="75"/>
    </row>
    <row r="174" spans="1:12">
      <c r="A174" s="1"/>
      <c r="B174" s="2"/>
      <c r="C174" s="3"/>
      <c r="D174" s="68"/>
      <c r="E174" s="4"/>
      <c r="F174" s="4"/>
      <c r="K174" s="32"/>
      <c r="L174" s="75"/>
    </row>
    <row r="175" spans="1:12">
      <c r="A175" s="1"/>
      <c r="B175" s="2"/>
      <c r="C175" s="3"/>
      <c r="D175" s="68"/>
      <c r="E175" s="4"/>
      <c r="F175" s="4"/>
      <c r="K175" s="32"/>
      <c r="L175" s="75"/>
    </row>
    <row r="176" spans="1:12">
      <c r="A176" s="1"/>
      <c r="B176" s="2"/>
      <c r="C176" s="3"/>
      <c r="D176" s="68"/>
      <c r="E176" s="4"/>
      <c r="F176" s="4"/>
      <c r="K176" s="32"/>
      <c r="L176" s="75"/>
    </row>
    <row r="177" spans="1:12">
      <c r="A177" s="1"/>
      <c r="B177" s="2"/>
      <c r="C177" s="3"/>
      <c r="D177" s="68"/>
      <c r="E177" s="4"/>
      <c r="F177" s="4"/>
      <c r="K177" s="32"/>
      <c r="L177" s="75"/>
    </row>
    <row r="178" spans="1:12">
      <c r="A178" s="1"/>
      <c r="B178" s="2"/>
      <c r="C178" s="3"/>
      <c r="D178" s="68"/>
      <c r="E178" s="4"/>
      <c r="F178" s="4"/>
      <c r="K178" s="32"/>
      <c r="L178" s="75"/>
    </row>
    <row r="179" spans="1:12">
      <c r="A179" s="1"/>
      <c r="B179" s="2"/>
      <c r="C179" s="3"/>
      <c r="D179" s="68"/>
      <c r="E179" s="4"/>
      <c r="F179" s="4"/>
      <c r="K179" s="32"/>
      <c r="L179" s="75"/>
    </row>
    <row r="180" spans="1:12">
      <c r="A180" s="1"/>
      <c r="B180" s="2"/>
      <c r="C180" s="3"/>
      <c r="D180" s="68"/>
      <c r="E180" s="4"/>
      <c r="F180" s="4"/>
      <c r="K180" s="32"/>
      <c r="L180" s="75"/>
    </row>
    <row r="181" spans="1:12">
      <c r="A181" s="1"/>
      <c r="B181" s="2"/>
      <c r="C181" s="3"/>
      <c r="D181" s="68"/>
      <c r="E181" s="4"/>
      <c r="F181" s="4"/>
      <c r="K181" s="32"/>
      <c r="L181" s="75"/>
    </row>
    <row r="182" spans="1:12">
      <c r="A182" s="1"/>
      <c r="B182" s="2"/>
      <c r="C182" s="3"/>
      <c r="D182" s="68"/>
      <c r="E182" s="4"/>
      <c r="F182" s="4"/>
      <c r="K182" s="32"/>
      <c r="L182" s="75"/>
    </row>
    <row r="183" spans="1:12">
      <c r="A183" s="1"/>
      <c r="B183" s="2"/>
      <c r="C183" s="3"/>
      <c r="D183" s="68"/>
      <c r="E183" s="4"/>
      <c r="F183" s="4"/>
      <c r="K183" s="32"/>
      <c r="L183" s="75"/>
    </row>
    <row r="184" spans="1:12">
      <c r="A184" s="1"/>
      <c r="B184" s="2"/>
      <c r="C184" s="3"/>
      <c r="D184" s="68"/>
      <c r="E184" s="4"/>
      <c r="F184" s="4"/>
      <c r="K184" s="32"/>
    </row>
    <row r="185" spans="1:12">
      <c r="A185" s="1"/>
      <c r="B185" s="2"/>
      <c r="C185" s="3"/>
      <c r="D185" s="68"/>
      <c r="E185" s="4"/>
      <c r="F185" s="4"/>
      <c r="K185" s="32"/>
    </row>
    <row r="186" spans="1:12">
      <c r="A186" s="1"/>
      <c r="B186" s="2"/>
      <c r="C186" s="3"/>
      <c r="D186" s="68"/>
      <c r="E186" s="4"/>
      <c r="F186" s="4"/>
      <c r="K186" s="32"/>
    </row>
    <row r="187" spans="1:12">
      <c r="A187" s="1"/>
      <c r="B187" s="2"/>
      <c r="C187" s="3"/>
      <c r="D187" s="68"/>
      <c r="E187" s="4"/>
      <c r="F187" s="4"/>
      <c r="K187" s="32"/>
    </row>
    <row r="188" spans="1:12">
      <c r="A188" s="1"/>
      <c r="B188" s="2"/>
      <c r="C188" s="3"/>
      <c r="D188" s="68"/>
      <c r="E188" s="4"/>
      <c r="F188" s="4"/>
    </row>
    <row r="189" spans="1:12">
      <c r="A189" s="1"/>
      <c r="B189" s="2"/>
      <c r="C189" s="3"/>
      <c r="D189" s="68"/>
      <c r="E189" s="4"/>
      <c r="F189" s="4"/>
    </row>
    <row r="190" spans="1:12">
      <c r="A190" s="1"/>
      <c r="B190" s="2"/>
      <c r="C190" s="3"/>
      <c r="D190" s="68"/>
      <c r="E190" s="4"/>
      <c r="F190" s="4"/>
    </row>
    <row r="191" spans="1:12">
      <c r="A191" s="1"/>
      <c r="B191" s="2"/>
      <c r="C191" s="3"/>
      <c r="D191" s="68"/>
      <c r="E191" s="4"/>
      <c r="F191" s="4"/>
    </row>
    <row r="192" spans="1:12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4">
    <mergeCell ref="L20:M20"/>
    <mergeCell ref="B20:D20"/>
    <mergeCell ref="A137:C137"/>
    <mergeCell ref="D137:F137"/>
    <mergeCell ref="G137:H137"/>
    <mergeCell ref="A138:C138"/>
    <mergeCell ref="D138:F138"/>
    <mergeCell ref="G138:H138"/>
    <mergeCell ref="A12:D12"/>
    <mergeCell ref="A14:H14"/>
    <mergeCell ref="A15:H15"/>
    <mergeCell ref="A16:H16"/>
    <mergeCell ref="G17:H17"/>
    <mergeCell ref="A18:A19"/>
    <mergeCell ref="B18:D19"/>
    <mergeCell ref="E18:E19"/>
    <mergeCell ref="F18:F19"/>
    <mergeCell ref="G18:H18"/>
    <mergeCell ref="A11:G11"/>
    <mergeCell ref="A2:D2"/>
    <mergeCell ref="A3:D3"/>
    <mergeCell ref="A4:D4"/>
    <mergeCell ref="A5:D5"/>
    <mergeCell ref="A6:D6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289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228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A28" workbookViewId="0">
      <selection activeCell="G2" sqref="G1:G1048576"/>
    </sheetView>
  </sheetViews>
  <sheetFormatPr defaultRowHeight="15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259" customWidth="1"/>
    <col min="8" max="8" width="11.85546875" style="5" customWidth="1"/>
    <col min="9" max="9" width="9.140625" style="5"/>
    <col min="10" max="10" width="13.140625" style="5" hidden="1" customWidth="1"/>
    <col min="11" max="11" width="9.140625" style="5" hidden="1" customWidth="1"/>
    <col min="12" max="12" width="9.28515625" style="6" hidden="1" customWidth="1"/>
    <col min="13" max="13" width="9.140625" style="5"/>
    <col min="14" max="14" width="10.5703125" style="5" customWidth="1"/>
    <col min="15" max="15" width="11.7109375" style="5" customWidth="1"/>
    <col min="16" max="16384" width="9.140625" style="5"/>
  </cols>
  <sheetData>
    <row r="1" spans="1:12" ht="16.5" customHeight="1">
      <c r="A1" s="1"/>
      <c r="B1" s="2"/>
      <c r="C1" s="3"/>
      <c r="D1" s="4"/>
      <c r="E1" s="4"/>
      <c r="F1" s="4"/>
    </row>
    <row r="2" spans="1:12">
      <c r="A2" s="319"/>
      <c r="B2" s="319"/>
      <c r="C2" s="319"/>
      <c r="D2" s="319"/>
      <c r="E2" s="4"/>
      <c r="F2" s="4"/>
    </row>
    <row r="3" spans="1:12" ht="13.5" customHeight="1">
      <c r="A3" s="319"/>
      <c r="B3" s="319"/>
      <c r="C3" s="319"/>
      <c r="D3" s="319"/>
      <c r="E3" s="4"/>
      <c r="F3" s="4"/>
    </row>
    <row r="4" spans="1:12" ht="15" customHeight="1">
      <c r="A4" s="319"/>
      <c r="B4" s="319"/>
      <c r="C4" s="319"/>
      <c r="D4" s="319"/>
      <c r="E4" s="4"/>
      <c r="F4" s="4"/>
    </row>
    <row r="5" spans="1:12" ht="16.5" customHeight="1">
      <c r="A5" s="319"/>
      <c r="B5" s="319"/>
      <c r="C5" s="319"/>
      <c r="D5" s="319"/>
      <c r="E5" s="4"/>
      <c r="F5" s="4"/>
    </row>
    <row r="6" spans="1:12">
      <c r="A6" s="319"/>
      <c r="B6" s="319"/>
      <c r="C6" s="319"/>
      <c r="D6" s="319"/>
      <c r="E6" s="4"/>
      <c r="F6" s="4"/>
    </row>
    <row r="7" spans="1:12" ht="13.5" customHeight="1">
      <c r="A7" s="1"/>
      <c r="B7" s="2"/>
      <c r="C7" s="3"/>
      <c r="D7" s="4"/>
      <c r="E7" s="4"/>
      <c r="F7" s="4"/>
    </row>
    <row r="8" spans="1:12" ht="13.5" customHeight="1">
      <c r="A8" s="1"/>
      <c r="B8" s="2"/>
      <c r="C8" s="3"/>
      <c r="D8" s="4"/>
      <c r="E8" s="4"/>
      <c r="F8" s="4"/>
    </row>
    <row r="9" spans="1:12" ht="13.5" customHeight="1">
      <c r="A9" s="1"/>
      <c r="B9" s="2"/>
      <c r="C9" s="3"/>
      <c r="D9" s="4"/>
      <c r="E9" s="4"/>
      <c r="F9" s="4"/>
    </row>
    <row r="10" spans="1:12">
      <c r="A10" s="1"/>
      <c r="B10" s="2"/>
      <c r="C10" s="3"/>
      <c r="D10" s="4"/>
      <c r="E10" s="4"/>
      <c r="F10" s="4"/>
    </row>
    <row r="11" spans="1:12" s="7" customFormat="1" ht="13.5" customHeight="1">
      <c r="A11" s="318"/>
      <c r="B11" s="318"/>
      <c r="C11" s="318"/>
      <c r="D11" s="318"/>
      <c r="E11" s="318"/>
      <c r="F11" s="318"/>
      <c r="G11" s="318"/>
      <c r="L11" s="8"/>
    </row>
    <row r="12" spans="1:12" s="7" customFormat="1" ht="13.5" customHeight="1">
      <c r="A12" s="318"/>
      <c r="B12" s="318"/>
      <c r="C12" s="318"/>
      <c r="D12" s="318"/>
      <c r="E12" s="4"/>
      <c r="F12" s="4"/>
      <c r="G12" s="272"/>
      <c r="L12" s="8"/>
    </row>
    <row r="13" spans="1:12" s="7" customFormat="1" ht="24" customHeight="1">
      <c r="A13" s="1"/>
      <c r="B13" s="2"/>
      <c r="C13" s="3"/>
      <c r="D13" s="4"/>
      <c r="E13" s="4"/>
      <c r="F13" s="4"/>
      <c r="G13" s="272"/>
      <c r="H13" s="9"/>
      <c r="L13" s="8"/>
    </row>
    <row r="14" spans="1:12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L14" s="8"/>
    </row>
    <row r="15" spans="1:12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L15" s="8"/>
    </row>
    <row r="16" spans="1:12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L16" s="8"/>
    </row>
    <row r="17" spans="1:15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L17" s="8"/>
    </row>
    <row r="18" spans="1:15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L18" s="8"/>
    </row>
    <row r="19" spans="1:15" s="7" customFormat="1" ht="37.5" customHeight="1">
      <c r="A19" s="336"/>
      <c r="B19" s="336"/>
      <c r="C19" s="336"/>
      <c r="D19" s="336"/>
      <c r="E19" s="337"/>
      <c r="F19" s="338"/>
      <c r="G19" s="285" t="s">
        <v>4</v>
      </c>
      <c r="H19" s="224" t="s">
        <v>5</v>
      </c>
      <c r="L19" s="8"/>
    </row>
    <row r="20" spans="1:15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286">
        <v>5</v>
      </c>
      <c r="H20" s="225">
        <v>6</v>
      </c>
      <c r="L20" s="8"/>
    </row>
    <row r="21" spans="1:15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75"/>
      <c r="H21" s="231"/>
      <c r="L21" s="25"/>
    </row>
    <row r="22" spans="1:15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41">
        <f>G23+G30+G35+G36</f>
        <v>1284604</v>
      </c>
      <c r="H22" s="184">
        <f>H23+H30+H35+H36</f>
        <v>1360612</v>
      </c>
      <c r="I22" s="32"/>
      <c r="J22" s="33">
        <v>1001</v>
      </c>
      <c r="K22" s="41">
        <v>1284604</v>
      </c>
      <c r="L22" s="34">
        <f t="shared" ref="L22:L53" si="0">G22-K22</f>
        <v>0</v>
      </c>
      <c r="N22" s="32"/>
    </row>
    <row r="23" spans="1:15" ht="25.5" customHeight="1">
      <c r="A23" s="29"/>
      <c r="B23" s="35"/>
      <c r="C23" s="35"/>
      <c r="D23" s="28" t="s">
        <v>292</v>
      </c>
      <c r="E23" s="29" t="s">
        <v>107</v>
      </c>
      <c r="F23" s="36"/>
      <c r="G23" s="83">
        <f>G24+G25-G26-G27-G28+G29</f>
        <v>1282727</v>
      </c>
      <c r="H23" s="185">
        <f>H24+H25-H26-H27-H28+H29</f>
        <v>1358405</v>
      </c>
      <c r="I23" s="32"/>
      <c r="J23" s="33">
        <v>1002</v>
      </c>
      <c r="K23" s="83">
        <v>1282727</v>
      </c>
      <c r="L23" s="34">
        <f t="shared" si="0"/>
        <v>0</v>
      </c>
      <c r="N23" s="32"/>
      <c r="O23" s="38"/>
    </row>
    <row r="24" spans="1:15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189">
        <v>0</v>
      </c>
      <c r="H24" s="186">
        <v>0</v>
      </c>
      <c r="I24" s="32"/>
      <c r="J24" s="33">
        <v>1003</v>
      </c>
      <c r="K24" s="189">
        <v>0</v>
      </c>
      <c r="L24" s="34">
        <f t="shared" si="0"/>
        <v>0</v>
      </c>
      <c r="N24" s="32"/>
    </row>
    <row r="25" spans="1:15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189">
        <v>1354585</v>
      </c>
      <c r="H25" s="186">
        <v>1362161</v>
      </c>
      <c r="I25" s="32"/>
      <c r="J25" s="33">
        <v>1004</v>
      </c>
      <c r="K25" s="189">
        <v>1354585</v>
      </c>
      <c r="L25" s="34">
        <f t="shared" si="0"/>
        <v>0</v>
      </c>
      <c r="N25" s="32"/>
    </row>
    <row r="26" spans="1:15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189">
        <v>35957</v>
      </c>
      <c r="H26" s="186">
        <v>18381</v>
      </c>
      <c r="I26" s="32"/>
      <c r="J26" s="33">
        <v>1005</v>
      </c>
      <c r="K26" s="189">
        <v>35957</v>
      </c>
      <c r="L26" s="34">
        <f t="shared" si="0"/>
        <v>0</v>
      </c>
      <c r="N26" s="32"/>
      <c r="O26" s="38"/>
    </row>
    <row r="27" spans="1:15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189">
        <v>143</v>
      </c>
      <c r="H27" s="186">
        <v>0</v>
      </c>
      <c r="I27" s="32"/>
      <c r="J27" s="33">
        <v>1006</v>
      </c>
      <c r="K27" s="189">
        <v>143</v>
      </c>
      <c r="L27" s="34">
        <f t="shared" si="0"/>
        <v>0</v>
      </c>
      <c r="N27" s="32"/>
    </row>
    <row r="28" spans="1:15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189">
        <v>35758</v>
      </c>
      <c r="H28" s="186">
        <v>0</v>
      </c>
      <c r="I28" s="32"/>
      <c r="J28" s="33">
        <v>1007</v>
      </c>
      <c r="K28" s="189">
        <v>35758</v>
      </c>
      <c r="L28" s="34">
        <f t="shared" si="0"/>
        <v>0</v>
      </c>
      <c r="N28" s="32"/>
    </row>
    <row r="29" spans="1:15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189">
        <v>0</v>
      </c>
      <c r="H29" s="186">
        <v>14625</v>
      </c>
      <c r="I29" s="32"/>
      <c r="J29" s="33">
        <v>1008</v>
      </c>
      <c r="K29" s="189">
        <v>0</v>
      </c>
      <c r="L29" s="34">
        <f t="shared" si="0"/>
        <v>0</v>
      </c>
      <c r="N29" s="32"/>
    </row>
    <row r="30" spans="1:15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v>0</v>
      </c>
      <c r="H30" s="185">
        <f>H31-H32-H33+H34</f>
        <v>0</v>
      </c>
      <c r="I30" s="32"/>
      <c r="J30" s="33">
        <v>1009</v>
      </c>
      <c r="K30" s="83">
        <v>0</v>
      </c>
      <c r="L30" s="34">
        <f t="shared" si="0"/>
        <v>0</v>
      </c>
      <c r="N30" s="32"/>
    </row>
    <row r="31" spans="1:15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189">
        <v>0</v>
      </c>
      <c r="H31" s="186">
        <v>0</v>
      </c>
      <c r="I31" s="32"/>
      <c r="J31" s="33">
        <v>1010</v>
      </c>
      <c r="K31" s="189">
        <v>0</v>
      </c>
      <c r="L31" s="34">
        <f t="shared" si="0"/>
        <v>0</v>
      </c>
      <c r="N31" s="32"/>
    </row>
    <row r="32" spans="1:15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189">
        <v>0</v>
      </c>
      <c r="H32" s="186">
        <v>0</v>
      </c>
      <c r="I32" s="32"/>
      <c r="J32" s="33">
        <v>1011</v>
      </c>
      <c r="K32" s="189">
        <v>0</v>
      </c>
      <c r="L32" s="34">
        <f t="shared" si="0"/>
        <v>0</v>
      </c>
      <c r="N32" s="32"/>
    </row>
    <row r="33" spans="1:14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189">
        <v>0</v>
      </c>
      <c r="H33" s="186">
        <v>0</v>
      </c>
      <c r="I33" s="32"/>
      <c r="J33" s="33">
        <v>1012</v>
      </c>
      <c r="K33" s="189">
        <v>0</v>
      </c>
      <c r="L33" s="34">
        <f t="shared" si="0"/>
        <v>0</v>
      </c>
      <c r="N33" s="32"/>
    </row>
    <row r="34" spans="1:14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189">
        <v>0</v>
      </c>
      <c r="H34" s="186">
        <v>0</v>
      </c>
      <c r="I34" s="32"/>
      <c r="J34" s="33">
        <v>1013</v>
      </c>
      <c r="K34" s="189">
        <v>0</v>
      </c>
      <c r="L34" s="34">
        <f t="shared" si="0"/>
        <v>0</v>
      </c>
      <c r="N34" s="32"/>
    </row>
    <row r="35" spans="1:14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3">
        <v>803</v>
      </c>
      <c r="H35" s="185">
        <v>1047</v>
      </c>
      <c r="I35" s="32"/>
      <c r="J35" s="33">
        <v>1014</v>
      </c>
      <c r="K35" s="83">
        <v>803</v>
      </c>
      <c r="L35" s="34">
        <f t="shared" si="0"/>
        <v>0</v>
      </c>
      <c r="N35" s="32"/>
    </row>
    <row r="36" spans="1:14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3">
        <v>1074</v>
      </c>
      <c r="H36" s="185">
        <v>1160</v>
      </c>
      <c r="I36" s="32"/>
      <c r="J36" s="33">
        <v>1015</v>
      </c>
      <c r="K36" s="83">
        <v>1074</v>
      </c>
      <c r="L36" s="34">
        <f t="shared" si="0"/>
        <v>0</v>
      </c>
      <c r="N36" s="32"/>
    </row>
    <row r="37" spans="1:14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41">
        <f>G38+G47+G55-G56-G65+G66-G67+G68+G69</f>
        <v>996408</v>
      </c>
      <c r="H37" s="184">
        <f>H38+H47+H55-H56-H65+H66-H67+H68+H69</f>
        <v>966199</v>
      </c>
      <c r="I37" s="32"/>
      <c r="J37" s="33">
        <v>1016</v>
      </c>
      <c r="K37" s="41">
        <v>996407</v>
      </c>
      <c r="L37" s="34">
        <f t="shared" si="0"/>
        <v>1</v>
      </c>
      <c r="N37" s="32"/>
    </row>
    <row r="38" spans="1:14" ht="32.25" customHeight="1">
      <c r="A38" s="29"/>
      <c r="B38" s="35"/>
      <c r="C38" s="35"/>
      <c r="D38" s="28" t="s">
        <v>295</v>
      </c>
      <c r="E38" s="29" t="s">
        <v>128</v>
      </c>
      <c r="F38" s="36"/>
      <c r="G38" s="83">
        <f>G39+G40+G41+G42+G43+G44+G45+G46</f>
        <v>27175</v>
      </c>
      <c r="H38" s="185">
        <f>H39+H40+H41+H42+H43+H44+H45+H46</f>
        <v>27697</v>
      </c>
      <c r="I38" s="32"/>
      <c r="J38" s="33">
        <v>1017</v>
      </c>
      <c r="K38" s="83">
        <v>27174</v>
      </c>
      <c r="L38" s="34">
        <f t="shared" si="0"/>
        <v>1</v>
      </c>
      <c r="N38" s="32"/>
    </row>
    <row r="39" spans="1:14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189">
        <v>0</v>
      </c>
      <c r="H39" s="186">
        <v>0</v>
      </c>
      <c r="I39" s="32"/>
      <c r="J39" s="33">
        <v>1018</v>
      </c>
      <c r="K39" s="189">
        <v>0</v>
      </c>
      <c r="L39" s="34">
        <f t="shared" si="0"/>
        <v>0</v>
      </c>
      <c r="N39" s="32"/>
    </row>
    <row r="40" spans="1:14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189">
        <v>0</v>
      </c>
      <c r="H40" s="186">
        <v>0</v>
      </c>
      <c r="I40" s="32"/>
      <c r="J40" s="33">
        <v>1019</v>
      </c>
      <c r="K40" s="189">
        <v>0</v>
      </c>
      <c r="L40" s="34">
        <f t="shared" si="0"/>
        <v>0</v>
      </c>
      <c r="N40" s="32"/>
    </row>
    <row r="41" spans="1:14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189">
        <v>26732</v>
      </c>
      <c r="H41" s="186">
        <v>27345</v>
      </c>
      <c r="I41" s="32"/>
      <c r="J41" s="33">
        <v>1020</v>
      </c>
      <c r="K41" s="189">
        <v>26732</v>
      </c>
      <c r="L41" s="34">
        <f t="shared" si="0"/>
        <v>0</v>
      </c>
      <c r="N41" s="32"/>
    </row>
    <row r="42" spans="1:14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189">
        <v>43</v>
      </c>
      <c r="H42" s="186">
        <v>0</v>
      </c>
      <c r="I42" s="32"/>
      <c r="J42" s="33">
        <v>1021</v>
      </c>
      <c r="K42" s="189">
        <v>43</v>
      </c>
      <c r="L42" s="34">
        <f t="shared" si="0"/>
        <v>0</v>
      </c>
      <c r="N42" s="32"/>
    </row>
    <row r="43" spans="1:14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189">
        <v>400</v>
      </c>
      <c r="H43" s="186">
        <v>352</v>
      </c>
      <c r="I43" s="32"/>
      <c r="J43" s="33">
        <v>1022</v>
      </c>
      <c r="K43" s="189">
        <v>400</v>
      </c>
      <c r="L43" s="34">
        <f t="shared" si="0"/>
        <v>0</v>
      </c>
      <c r="N43" s="32"/>
    </row>
    <row r="44" spans="1:14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189">
        <v>0</v>
      </c>
      <c r="H44" s="186">
        <v>0</v>
      </c>
      <c r="I44" s="32"/>
      <c r="J44" s="33">
        <v>1023</v>
      </c>
      <c r="K44" s="189">
        <v>0</v>
      </c>
      <c r="L44" s="34">
        <f t="shared" si="0"/>
        <v>0</v>
      </c>
      <c r="N44" s="32"/>
    </row>
    <row r="45" spans="1:14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189">
        <v>0</v>
      </c>
      <c r="H45" s="186">
        <v>0</v>
      </c>
      <c r="I45" s="32"/>
      <c r="J45" s="33">
        <v>1024</v>
      </c>
      <c r="K45" s="189">
        <v>0</v>
      </c>
      <c r="L45" s="34">
        <f t="shared" si="0"/>
        <v>0</v>
      </c>
      <c r="N45" s="32"/>
    </row>
    <row r="46" spans="1:14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189">
        <v>0</v>
      </c>
      <c r="H46" s="186">
        <v>0</v>
      </c>
      <c r="I46" s="32"/>
      <c r="J46" s="33">
        <v>1025</v>
      </c>
      <c r="K46" s="189">
        <v>0</v>
      </c>
      <c r="L46" s="34">
        <f t="shared" si="0"/>
        <v>0</v>
      </c>
      <c r="N46" s="32"/>
    </row>
    <row r="47" spans="1:14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953090</v>
      </c>
      <c r="H47" s="185">
        <f>H48+H49+H50+H51+H52-H53-H54</f>
        <v>942627</v>
      </c>
      <c r="I47" s="32"/>
      <c r="J47" s="33">
        <v>1026</v>
      </c>
      <c r="K47" s="83">
        <v>953089</v>
      </c>
      <c r="L47" s="34">
        <f t="shared" si="0"/>
        <v>1</v>
      </c>
      <c r="N47" s="32"/>
    </row>
    <row r="48" spans="1:14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189">
        <v>0</v>
      </c>
      <c r="H48" s="186">
        <v>0</v>
      </c>
      <c r="I48" s="32"/>
      <c r="J48" s="33">
        <v>1027</v>
      </c>
      <c r="K48" s="189">
        <v>0</v>
      </c>
      <c r="L48" s="34">
        <f t="shared" si="0"/>
        <v>0</v>
      </c>
      <c r="N48" s="32"/>
    </row>
    <row r="49" spans="1:14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189">
        <v>896083</v>
      </c>
      <c r="H49" s="186">
        <v>858299</v>
      </c>
      <c r="I49" s="32"/>
      <c r="J49" s="33">
        <v>1028</v>
      </c>
      <c r="K49" s="189">
        <v>896083</v>
      </c>
      <c r="L49" s="34">
        <f t="shared" si="0"/>
        <v>0</v>
      </c>
      <c r="N49" s="32"/>
    </row>
    <row r="50" spans="1:14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189">
        <v>10961</v>
      </c>
      <c r="H50" s="186">
        <v>7044</v>
      </c>
      <c r="I50" s="32"/>
      <c r="J50" s="33">
        <v>1029</v>
      </c>
      <c r="K50" s="189">
        <v>10961</v>
      </c>
      <c r="L50" s="34">
        <f t="shared" si="0"/>
        <v>0</v>
      </c>
      <c r="N50" s="32"/>
    </row>
    <row r="51" spans="1:14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189">
        <v>0</v>
      </c>
      <c r="H51" s="186">
        <v>0</v>
      </c>
      <c r="I51" s="32"/>
      <c r="J51" s="33">
        <v>1030</v>
      </c>
      <c r="K51" s="189">
        <v>0</v>
      </c>
      <c r="L51" s="34">
        <f t="shared" si="0"/>
        <v>0</v>
      </c>
      <c r="N51" s="32"/>
    </row>
    <row r="52" spans="1:14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189">
        <v>75007</v>
      </c>
      <c r="H52" s="186">
        <v>83807</v>
      </c>
      <c r="I52" s="32"/>
      <c r="J52" s="33">
        <v>1031</v>
      </c>
      <c r="K52" s="189">
        <v>75007</v>
      </c>
      <c r="L52" s="34">
        <f t="shared" si="0"/>
        <v>0</v>
      </c>
      <c r="N52" s="32"/>
    </row>
    <row r="53" spans="1:14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189">
        <v>28953</v>
      </c>
      <c r="H53" s="186">
        <v>6523</v>
      </c>
      <c r="I53" s="32"/>
      <c r="J53" s="33">
        <v>1032</v>
      </c>
      <c r="K53" s="189">
        <v>28953</v>
      </c>
      <c r="L53" s="34">
        <f t="shared" si="0"/>
        <v>0</v>
      </c>
      <c r="N53" s="32"/>
    </row>
    <row r="54" spans="1:14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189">
        <v>8</v>
      </c>
      <c r="H54" s="186">
        <v>0</v>
      </c>
      <c r="I54" s="32"/>
      <c r="J54" s="33">
        <v>1033</v>
      </c>
      <c r="K54" s="189">
        <v>8</v>
      </c>
      <c r="L54" s="34">
        <f t="shared" ref="L54:L85" si="1">G54-K54</f>
        <v>0</v>
      </c>
      <c r="N54" s="32"/>
    </row>
    <row r="55" spans="1:14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49637</v>
      </c>
      <c r="H55" s="185">
        <f>IF((H57-H58+H59-H60+H61-H62+H63-H64)&gt;0,(H57-H58+H59-H60+H61-H62+H63-H64),0)</f>
        <v>0</v>
      </c>
      <c r="I55" s="32"/>
      <c r="J55" s="33">
        <v>1034</v>
      </c>
      <c r="K55" s="83">
        <v>49638</v>
      </c>
      <c r="L55" s="34">
        <f t="shared" si="1"/>
        <v>-1</v>
      </c>
      <c r="N55" s="32"/>
    </row>
    <row r="56" spans="1:14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0</v>
      </c>
      <c r="H56" s="187">
        <f>IF((H57-H58+H59-H60+H61-H62+H63-H64)&lt;0,-(H57-H58+H59-H60+H61-H62+H63-H64),0)</f>
        <v>8952</v>
      </c>
      <c r="I56" s="32"/>
      <c r="J56" s="33">
        <v>1035</v>
      </c>
      <c r="K56" s="190">
        <v>0</v>
      </c>
      <c r="L56" s="34">
        <f t="shared" si="1"/>
        <v>0</v>
      </c>
      <c r="N56" s="32"/>
    </row>
    <row r="57" spans="1:14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189">
        <v>0</v>
      </c>
      <c r="H57" s="186">
        <v>0</v>
      </c>
      <c r="I57" s="32"/>
      <c r="J57" s="33">
        <v>1036</v>
      </c>
      <c r="K57" s="189">
        <v>0</v>
      </c>
      <c r="L57" s="34">
        <f t="shared" si="1"/>
        <v>0</v>
      </c>
      <c r="N57" s="32"/>
    </row>
    <row r="58" spans="1:14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189">
        <v>0</v>
      </c>
      <c r="H58" s="186">
        <v>0</v>
      </c>
      <c r="I58" s="32"/>
      <c r="J58" s="33">
        <v>1037</v>
      </c>
      <c r="K58" s="189">
        <v>0</v>
      </c>
      <c r="L58" s="34">
        <f t="shared" si="1"/>
        <v>0</v>
      </c>
      <c r="N58" s="32"/>
    </row>
    <row r="59" spans="1:14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189">
        <v>142871</v>
      </c>
      <c r="H59" s="186">
        <v>74302</v>
      </c>
      <c r="I59" s="32"/>
      <c r="J59" s="33">
        <v>1038</v>
      </c>
      <c r="K59" s="189">
        <v>142871</v>
      </c>
      <c r="L59" s="34">
        <f t="shared" si="1"/>
        <v>0</v>
      </c>
      <c r="N59" s="32"/>
    </row>
    <row r="60" spans="1:14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189">
        <v>92657</v>
      </c>
      <c r="H60" s="186">
        <v>84093</v>
      </c>
      <c r="I60" s="32"/>
      <c r="J60" s="33">
        <v>1039</v>
      </c>
      <c r="K60" s="189">
        <v>92657</v>
      </c>
      <c r="L60" s="34">
        <f t="shared" si="1"/>
        <v>0</v>
      </c>
      <c r="N60" s="32"/>
    </row>
    <row r="61" spans="1:14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189">
        <v>1478</v>
      </c>
      <c r="H61" s="186">
        <v>894</v>
      </c>
      <c r="I61" s="32"/>
      <c r="J61" s="33">
        <v>1040</v>
      </c>
      <c r="K61" s="189">
        <v>1478</v>
      </c>
      <c r="L61" s="34">
        <f t="shared" si="1"/>
        <v>0</v>
      </c>
      <c r="N61" s="32"/>
    </row>
    <row r="62" spans="1:14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189">
        <v>2055</v>
      </c>
      <c r="H62" s="186">
        <v>55</v>
      </c>
      <c r="I62" s="32"/>
      <c r="J62" s="33">
        <v>1041</v>
      </c>
      <c r="K62" s="189">
        <v>2055</v>
      </c>
      <c r="L62" s="34">
        <f t="shared" si="1"/>
        <v>0</v>
      </c>
      <c r="N62" s="32"/>
    </row>
    <row r="63" spans="1:14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189">
        <v>0</v>
      </c>
      <c r="H63" s="186">
        <v>0</v>
      </c>
      <c r="I63" s="32"/>
      <c r="J63" s="33">
        <v>1042</v>
      </c>
      <c r="K63" s="189">
        <v>0</v>
      </c>
      <c r="L63" s="34">
        <f t="shared" si="1"/>
        <v>0</v>
      </c>
      <c r="N63" s="32"/>
    </row>
    <row r="64" spans="1:14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189">
        <v>0</v>
      </c>
      <c r="H64" s="186">
        <v>0</v>
      </c>
      <c r="I64" s="32"/>
      <c r="J64" s="33">
        <v>1043</v>
      </c>
      <c r="K64" s="189">
        <v>0</v>
      </c>
      <c r="L64" s="34">
        <f t="shared" si="1"/>
        <v>0</v>
      </c>
      <c r="N64" s="32"/>
    </row>
    <row r="65" spans="1:14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3">
        <v>209</v>
      </c>
      <c r="H65" s="185">
        <v>7</v>
      </c>
      <c r="I65" s="32"/>
      <c r="J65" s="33">
        <v>1044</v>
      </c>
      <c r="K65" s="83">
        <v>209</v>
      </c>
      <c r="L65" s="34">
        <f t="shared" si="1"/>
        <v>0</v>
      </c>
      <c r="N65" s="32"/>
    </row>
    <row r="66" spans="1:14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3">
        <v>0</v>
      </c>
      <c r="H66" s="185">
        <v>0</v>
      </c>
      <c r="I66" s="32"/>
      <c r="J66" s="33">
        <v>1045</v>
      </c>
      <c r="K66" s="83">
        <v>0</v>
      </c>
      <c r="L66" s="34">
        <f t="shared" si="1"/>
        <v>0</v>
      </c>
      <c r="N66" s="32"/>
    </row>
    <row r="67" spans="1:14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3">
        <v>80009</v>
      </c>
      <c r="H67" s="185">
        <v>30329</v>
      </c>
      <c r="I67" s="32"/>
      <c r="J67" s="33">
        <v>1046</v>
      </c>
      <c r="K67" s="83">
        <v>80009</v>
      </c>
      <c r="L67" s="34">
        <f t="shared" si="1"/>
        <v>0</v>
      </c>
      <c r="N67" s="32"/>
    </row>
    <row r="68" spans="1:14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3">
        <v>46724</v>
      </c>
      <c r="H68" s="185">
        <v>35163</v>
      </c>
      <c r="I68" s="32"/>
      <c r="J68" s="33">
        <v>1047</v>
      </c>
      <c r="K68" s="83">
        <v>46724</v>
      </c>
      <c r="L68" s="34">
        <f t="shared" si="1"/>
        <v>0</v>
      </c>
      <c r="N68" s="32"/>
    </row>
    <row r="69" spans="1:14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3">
        <v>0</v>
      </c>
      <c r="H69" s="185">
        <v>0</v>
      </c>
      <c r="I69" s="32"/>
      <c r="J69" s="33">
        <v>1048</v>
      </c>
      <c r="K69" s="83">
        <v>0</v>
      </c>
      <c r="L69" s="34">
        <f t="shared" si="1"/>
        <v>0</v>
      </c>
      <c r="N69" s="32"/>
    </row>
    <row r="70" spans="1:14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288196</v>
      </c>
      <c r="H70" s="184">
        <f>IF((H22-H37)&gt;0,(H22-H37),0)</f>
        <v>394413</v>
      </c>
      <c r="I70" s="32"/>
      <c r="J70" s="33">
        <v>1049</v>
      </c>
      <c r="K70" s="41">
        <v>288196</v>
      </c>
      <c r="L70" s="34">
        <f t="shared" si="1"/>
        <v>0</v>
      </c>
      <c r="N70" s="32"/>
    </row>
    <row r="71" spans="1:14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184">
        <f>IF((H22-H37)&lt;0,-(H22-H37),0)</f>
        <v>0</v>
      </c>
      <c r="I71" s="32"/>
      <c r="J71" s="33">
        <v>1050</v>
      </c>
      <c r="K71" s="41">
        <v>0</v>
      </c>
      <c r="L71" s="34">
        <f t="shared" si="1"/>
        <v>0</v>
      </c>
      <c r="N71" s="32"/>
    </row>
    <row r="72" spans="1:14" ht="25.5">
      <c r="A72" s="26"/>
      <c r="B72" s="27" t="s">
        <v>56</v>
      </c>
      <c r="C72" s="27"/>
      <c r="D72" s="42" t="s">
        <v>301</v>
      </c>
      <c r="E72" s="29"/>
      <c r="F72" s="30"/>
      <c r="G72" s="41"/>
      <c r="H72" s="184"/>
      <c r="I72" s="32"/>
      <c r="J72" s="43"/>
      <c r="K72" s="41"/>
      <c r="L72" s="45">
        <f t="shared" si="1"/>
        <v>0</v>
      </c>
      <c r="N72" s="32"/>
    </row>
    <row r="73" spans="1:14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71308</v>
      </c>
      <c r="H73" s="184">
        <f>H74+H75+H79+H80+H81+H82+H83</f>
        <v>31654</v>
      </c>
      <c r="I73" s="32"/>
      <c r="J73" s="33">
        <v>1051</v>
      </c>
      <c r="K73" s="41">
        <v>71309</v>
      </c>
      <c r="L73" s="34">
        <f t="shared" si="1"/>
        <v>-1</v>
      </c>
      <c r="N73" s="32"/>
    </row>
    <row r="74" spans="1:14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108">
        <v>2139</v>
      </c>
      <c r="H74" s="186">
        <v>5953</v>
      </c>
      <c r="I74" s="32"/>
      <c r="J74" s="33">
        <v>1052</v>
      </c>
      <c r="K74" s="108">
        <v>2139</v>
      </c>
      <c r="L74" s="34">
        <f t="shared" si="1"/>
        <v>0</v>
      </c>
      <c r="N74" s="32"/>
    </row>
    <row r="75" spans="1:14" ht="15.75" customHeight="1">
      <c r="A75" s="26"/>
      <c r="B75" s="27"/>
      <c r="C75" s="27"/>
      <c r="D75" s="39" t="s">
        <v>188</v>
      </c>
      <c r="E75" s="29" t="s">
        <v>190</v>
      </c>
      <c r="F75" s="30"/>
      <c r="G75" s="108">
        <v>10207</v>
      </c>
      <c r="H75" s="186">
        <v>8818</v>
      </c>
      <c r="I75" s="32"/>
      <c r="J75" s="33">
        <v>1053</v>
      </c>
      <c r="K75" s="108">
        <v>10207</v>
      </c>
      <c r="L75" s="34">
        <f t="shared" si="1"/>
        <v>0</v>
      </c>
      <c r="N75" s="32"/>
    </row>
    <row r="76" spans="1:14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108">
        <v>5879</v>
      </c>
      <c r="H76" s="186">
        <v>8818</v>
      </c>
      <c r="I76" s="32"/>
      <c r="J76" s="33">
        <v>1054</v>
      </c>
      <c r="K76" s="108">
        <v>5879</v>
      </c>
      <c r="L76" s="34">
        <f t="shared" si="1"/>
        <v>0</v>
      </c>
      <c r="N76" s="32"/>
    </row>
    <row r="77" spans="1:14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108">
        <v>4277</v>
      </c>
      <c r="H77" s="186">
        <v>0</v>
      </c>
      <c r="I77" s="32"/>
      <c r="J77" s="33">
        <v>1055</v>
      </c>
      <c r="K77" s="108">
        <v>4277</v>
      </c>
      <c r="L77" s="34">
        <f t="shared" si="1"/>
        <v>0</v>
      </c>
      <c r="N77" s="32"/>
    </row>
    <row r="78" spans="1:14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108">
        <v>51</v>
      </c>
      <c r="H78" s="186">
        <v>0</v>
      </c>
      <c r="I78" s="32"/>
      <c r="J78" s="33">
        <v>1056</v>
      </c>
      <c r="K78" s="108">
        <v>51</v>
      </c>
      <c r="L78" s="34">
        <f t="shared" si="1"/>
        <v>0</v>
      </c>
      <c r="N78" s="32"/>
    </row>
    <row r="79" spans="1:14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108">
        <v>7543</v>
      </c>
      <c r="H79" s="186">
        <v>2403</v>
      </c>
      <c r="I79" s="32"/>
      <c r="J79" s="33">
        <v>1057</v>
      </c>
      <c r="K79" s="108">
        <v>7543</v>
      </c>
      <c r="L79" s="34">
        <f t="shared" si="1"/>
        <v>0</v>
      </c>
      <c r="N79" s="32"/>
    </row>
    <row r="80" spans="1:14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108">
        <v>19117</v>
      </c>
      <c r="H80" s="186">
        <v>1168</v>
      </c>
      <c r="I80" s="32"/>
      <c r="J80" s="33">
        <v>1058</v>
      </c>
      <c r="K80" s="108">
        <v>19117</v>
      </c>
      <c r="L80" s="34">
        <f t="shared" si="1"/>
        <v>0</v>
      </c>
      <c r="N80" s="32"/>
    </row>
    <row r="81" spans="1:14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108">
        <v>23713</v>
      </c>
      <c r="H81" s="186">
        <v>84</v>
      </c>
      <c r="I81" s="32"/>
      <c r="J81" s="33">
        <v>1059</v>
      </c>
      <c r="K81" s="108">
        <v>23713</v>
      </c>
      <c r="L81" s="34">
        <f t="shared" si="1"/>
        <v>0</v>
      </c>
      <c r="N81" s="32"/>
    </row>
    <row r="82" spans="1:14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108">
        <v>5625</v>
      </c>
      <c r="H82" s="186">
        <v>13228</v>
      </c>
      <c r="I82" s="32"/>
      <c r="J82" s="33">
        <v>1060</v>
      </c>
      <c r="K82" s="108">
        <v>5625</v>
      </c>
      <c r="L82" s="34">
        <f t="shared" si="1"/>
        <v>0</v>
      </c>
      <c r="N82" s="32"/>
    </row>
    <row r="83" spans="1:14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108">
        <v>2964</v>
      </c>
      <c r="H83" s="186">
        <v>0</v>
      </c>
      <c r="I83" s="32"/>
      <c r="J83" s="33">
        <v>1061</v>
      </c>
      <c r="K83" s="108">
        <v>2964</v>
      </c>
      <c r="L83" s="34">
        <f t="shared" si="1"/>
        <v>0</v>
      </c>
      <c r="N83" s="32"/>
    </row>
    <row r="84" spans="1:14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30103</v>
      </c>
      <c r="H84" s="184">
        <f>H85+H86+H89+H90+H91+H92</f>
        <v>8674</v>
      </c>
      <c r="I84" s="32"/>
      <c r="J84" s="33">
        <v>1062</v>
      </c>
      <c r="K84" s="41">
        <v>30102</v>
      </c>
      <c r="L84" s="34">
        <f t="shared" si="1"/>
        <v>1</v>
      </c>
      <c r="N84" s="32"/>
    </row>
    <row r="85" spans="1:14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189">
        <v>0</v>
      </c>
      <c r="H85" s="186">
        <v>0</v>
      </c>
      <c r="I85" s="32"/>
      <c r="J85" s="70">
        <v>1063</v>
      </c>
      <c r="K85" s="189">
        <v>0</v>
      </c>
      <c r="L85" s="71">
        <f t="shared" si="1"/>
        <v>0</v>
      </c>
      <c r="N85" s="32"/>
    </row>
    <row r="86" spans="1:14" ht="15">
      <c r="A86" s="26"/>
      <c r="B86" s="35"/>
      <c r="C86" s="35"/>
      <c r="D86" s="39" t="s">
        <v>304</v>
      </c>
      <c r="E86" s="29" t="s">
        <v>218</v>
      </c>
      <c r="F86" s="30"/>
      <c r="G86" s="189">
        <v>17721</v>
      </c>
      <c r="H86" s="186">
        <v>0</v>
      </c>
      <c r="I86" s="32"/>
      <c r="J86" s="70">
        <v>1064</v>
      </c>
      <c r="K86" s="189">
        <v>17721</v>
      </c>
      <c r="L86" s="71">
        <f t="shared" ref="L86:L117" si="2">G86-K86</f>
        <v>0</v>
      </c>
      <c r="N86" s="32"/>
    </row>
    <row r="87" spans="1:14" ht="1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189">
        <v>17721</v>
      </c>
      <c r="H87" s="186">
        <v>0</v>
      </c>
      <c r="I87" s="32"/>
      <c r="J87" s="70">
        <v>1065</v>
      </c>
      <c r="K87" s="189">
        <v>17721</v>
      </c>
      <c r="L87" s="71">
        <f t="shared" si="2"/>
        <v>0</v>
      </c>
      <c r="N87" s="32"/>
    </row>
    <row r="88" spans="1:14" ht="1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189">
        <v>0</v>
      </c>
      <c r="H88" s="186">
        <v>0</v>
      </c>
      <c r="I88" s="32"/>
      <c r="J88" s="70">
        <v>1066</v>
      </c>
      <c r="K88" s="189">
        <v>0</v>
      </c>
      <c r="L88" s="71">
        <f t="shared" si="2"/>
        <v>0</v>
      </c>
      <c r="N88" s="32"/>
    </row>
    <row r="89" spans="1:14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189">
        <v>1854</v>
      </c>
      <c r="H89" s="186">
        <v>263</v>
      </c>
      <c r="I89" s="32"/>
      <c r="J89" s="70">
        <v>1067</v>
      </c>
      <c r="K89" s="189">
        <v>1854</v>
      </c>
      <c r="L89" s="71">
        <f t="shared" si="2"/>
        <v>0</v>
      </c>
      <c r="N89" s="32"/>
    </row>
    <row r="90" spans="1:14" ht="1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189">
        <v>8121</v>
      </c>
      <c r="H90" s="186">
        <v>0</v>
      </c>
      <c r="I90" s="32"/>
      <c r="J90" s="70">
        <v>1068</v>
      </c>
      <c r="K90" s="189">
        <v>8121</v>
      </c>
      <c r="L90" s="71">
        <f t="shared" si="2"/>
        <v>0</v>
      </c>
      <c r="N90" s="32"/>
    </row>
    <row r="91" spans="1:14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189">
        <v>2407</v>
      </c>
      <c r="H91" s="186">
        <v>8411</v>
      </c>
      <c r="I91" s="32"/>
      <c r="J91" s="70">
        <v>1069</v>
      </c>
      <c r="K91" s="189">
        <v>2407</v>
      </c>
      <c r="L91" s="71">
        <f t="shared" si="2"/>
        <v>0</v>
      </c>
      <c r="N91" s="32"/>
    </row>
    <row r="92" spans="1:14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189">
        <v>0</v>
      </c>
      <c r="H92" s="186">
        <v>0</v>
      </c>
      <c r="I92" s="32"/>
      <c r="J92" s="70">
        <v>1070</v>
      </c>
      <c r="K92" s="189">
        <v>0</v>
      </c>
      <c r="L92" s="71">
        <f t="shared" si="2"/>
        <v>0</v>
      </c>
      <c r="N92" s="32"/>
    </row>
    <row r="93" spans="1:14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41205</v>
      </c>
      <c r="H93" s="184">
        <f>IF((H73-H84)&gt;0,(H73-H84),0)</f>
        <v>22980</v>
      </c>
      <c r="I93" s="32"/>
      <c r="J93" s="33">
        <v>1071</v>
      </c>
      <c r="K93" s="41">
        <v>41207</v>
      </c>
      <c r="L93" s="34">
        <f t="shared" si="2"/>
        <v>-2</v>
      </c>
      <c r="N93" s="32"/>
    </row>
    <row r="94" spans="1:14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184">
        <f>IF((H73-H84)&lt;0,-(H73-H84),0)</f>
        <v>0</v>
      </c>
      <c r="I94" s="32"/>
      <c r="J94" s="33">
        <v>1072</v>
      </c>
      <c r="K94" s="41">
        <v>0</v>
      </c>
      <c r="L94" s="34">
        <f t="shared" si="2"/>
        <v>0</v>
      </c>
      <c r="N94" s="32"/>
    </row>
    <row r="95" spans="1:14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484998</v>
      </c>
      <c r="H95" s="184">
        <f>H96+H101+H106-H107</f>
        <v>652571</v>
      </c>
      <c r="I95" s="32"/>
      <c r="J95" s="33">
        <v>1073</v>
      </c>
      <c r="K95" s="41">
        <v>484998</v>
      </c>
      <c r="L95" s="34">
        <f t="shared" si="2"/>
        <v>0</v>
      </c>
      <c r="N95" s="32"/>
    </row>
    <row r="96" spans="1:14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351985</v>
      </c>
      <c r="H96" s="185">
        <f>H97+H98-H99+H100</f>
        <v>424744</v>
      </c>
      <c r="I96" s="32"/>
      <c r="J96" s="33">
        <v>1074</v>
      </c>
      <c r="K96" s="83">
        <v>351985</v>
      </c>
      <c r="L96" s="34">
        <f t="shared" si="2"/>
        <v>0</v>
      </c>
      <c r="N96" s="32"/>
    </row>
    <row r="97" spans="1:14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31737+217</f>
        <v>31954</v>
      </c>
      <c r="H97" s="186">
        <f>32094-202</f>
        <v>31892</v>
      </c>
      <c r="I97" s="32"/>
      <c r="J97" s="33">
        <v>1075</v>
      </c>
      <c r="K97" s="189">
        <v>31737</v>
      </c>
      <c r="L97" s="34">
        <f t="shared" si="2"/>
        <v>217</v>
      </c>
      <c r="N97" s="32"/>
    </row>
    <row r="98" spans="1:14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320248-16592</f>
        <v>303656</v>
      </c>
      <c r="H98" s="186">
        <f>392650+6018</f>
        <v>398668</v>
      </c>
      <c r="I98" s="32"/>
      <c r="J98" s="33">
        <v>1076</v>
      </c>
      <c r="K98" s="189">
        <v>320248</v>
      </c>
      <c r="L98" s="34">
        <f t="shared" si="2"/>
        <v>-16592</v>
      </c>
      <c r="N98" s="32"/>
    </row>
    <row r="99" spans="1:14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v>0</v>
      </c>
      <c r="H99" s="186">
        <f>5816</f>
        <v>5816</v>
      </c>
      <c r="I99" s="32"/>
      <c r="J99" s="33">
        <v>1077</v>
      </c>
      <c r="K99" s="189">
        <v>0</v>
      </c>
      <c r="L99" s="34">
        <f t="shared" si="2"/>
        <v>0</v>
      </c>
      <c r="N99" s="32"/>
    </row>
    <row r="100" spans="1:14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v>16375</v>
      </c>
      <c r="H100" s="186">
        <v>0</v>
      </c>
      <c r="I100" s="32"/>
      <c r="J100" s="33">
        <v>1078</v>
      </c>
      <c r="K100" s="189">
        <v>0</v>
      </c>
      <c r="L100" s="34">
        <f t="shared" si="2"/>
        <v>16375</v>
      </c>
      <c r="N100" s="32"/>
    </row>
    <row r="101" spans="1:14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124315</v>
      </c>
      <c r="H101" s="185">
        <f>H102+H103+H104+H105</f>
        <v>215600</v>
      </c>
      <c r="I101" s="32"/>
      <c r="J101" s="33">
        <v>1079</v>
      </c>
      <c r="K101" s="83">
        <v>124315</v>
      </c>
      <c r="L101" s="34">
        <f t="shared" si="2"/>
        <v>0</v>
      </c>
      <c r="N101" s="32"/>
    </row>
    <row r="102" spans="1:14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189">
        <v>30249</v>
      </c>
      <c r="H102" s="186">
        <v>42982</v>
      </c>
      <c r="I102" s="32"/>
      <c r="J102" s="33">
        <v>1080</v>
      </c>
      <c r="K102" s="189">
        <v>30249</v>
      </c>
      <c r="L102" s="34">
        <f t="shared" si="2"/>
        <v>0</v>
      </c>
      <c r="N102" s="32"/>
    </row>
    <row r="103" spans="1:14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189">
        <v>28441</v>
      </c>
      <c r="H103" s="186">
        <v>41809</v>
      </c>
      <c r="I103" s="32"/>
      <c r="J103" s="33">
        <v>1081</v>
      </c>
      <c r="K103" s="189">
        <v>28441</v>
      </c>
      <c r="L103" s="34">
        <f t="shared" si="2"/>
        <v>0</v>
      </c>
      <c r="N103" s="32"/>
    </row>
    <row r="104" spans="1:14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189">
        <v>57050</v>
      </c>
      <c r="H104" s="186">
        <v>116463</v>
      </c>
      <c r="I104" s="32"/>
      <c r="J104" s="33">
        <v>1082</v>
      </c>
      <c r="K104" s="189">
        <v>57050</v>
      </c>
      <c r="L104" s="34">
        <f t="shared" si="2"/>
        <v>0</v>
      </c>
      <c r="N104" s="32"/>
    </row>
    <row r="105" spans="1:14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189">
        <v>8575</v>
      </c>
      <c r="H105" s="186">
        <v>14346</v>
      </c>
      <c r="I105" s="32"/>
      <c r="J105" s="33">
        <v>1083</v>
      </c>
      <c r="K105" s="189">
        <v>8575</v>
      </c>
      <c r="L105" s="34">
        <f t="shared" si="2"/>
        <v>0</v>
      </c>
      <c r="N105" s="32"/>
    </row>
    <row r="106" spans="1:14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3">
        <v>8732</v>
      </c>
      <c r="H106" s="185">
        <v>12227</v>
      </c>
      <c r="I106" s="32"/>
      <c r="J106" s="33">
        <v>1084</v>
      </c>
      <c r="K106" s="83">
        <v>8732</v>
      </c>
      <c r="L106" s="34">
        <f t="shared" si="2"/>
        <v>0</v>
      </c>
      <c r="N106" s="32"/>
    </row>
    <row r="107" spans="1:14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3">
        <v>34</v>
      </c>
      <c r="H107" s="185">
        <v>0</v>
      </c>
      <c r="I107" s="32"/>
      <c r="J107" s="33">
        <v>1085</v>
      </c>
      <c r="K107" s="83">
        <v>34</v>
      </c>
      <c r="L107" s="34">
        <f t="shared" si="2"/>
        <v>0</v>
      </c>
      <c r="N107" s="32"/>
    </row>
    <row r="108" spans="1:14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0</v>
      </c>
      <c r="H108" s="188">
        <f>IF((H70+H93-H71-H94-H95)&gt;0,(H70+H93-H71-H94-H95),0)</f>
        <v>0</v>
      </c>
      <c r="I108" s="32"/>
      <c r="J108" s="33">
        <v>1086</v>
      </c>
      <c r="K108" s="191">
        <v>0</v>
      </c>
      <c r="L108" s="34">
        <f t="shared" si="2"/>
        <v>0</v>
      </c>
      <c r="N108" s="32"/>
    </row>
    <row r="109" spans="1:14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155597</v>
      </c>
      <c r="H109" s="188">
        <f>IF((H70+H93-H71-H94-H95)&lt;0,-(H70+H93-H71-H94-H95),0)</f>
        <v>235178</v>
      </c>
      <c r="I109" s="32"/>
      <c r="J109" s="33">
        <v>1087</v>
      </c>
      <c r="K109" s="191">
        <v>155595</v>
      </c>
      <c r="L109" s="34">
        <f t="shared" si="2"/>
        <v>2</v>
      </c>
      <c r="N109" s="32"/>
    </row>
    <row r="110" spans="1:14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3">
        <v>14578</v>
      </c>
      <c r="H110" s="185">
        <v>26976</v>
      </c>
      <c r="I110" s="32"/>
      <c r="J110" s="33">
        <v>1088</v>
      </c>
      <c r="K110" s="83">
        <v>14578</v>
      </c>
      <c r="L110" s="34">
        <f t="shared" si="2"/>
        <v>0</v>
      </c>
      <c r="N110" s="32"/>
    </row>
    <row r="111" spans="1:14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3">
        <v>3612</v>
      </c>
      <c r="H111" s="185">
        <v>4176</v>
      </c>
      <c r="I111" s="32"/>
      <c r="J111" s="33">
        <v>1089</v>
      </c>
      <c r="K111" s="83">
        <v>3612</v>
      </c>
      <c r="L111" s="34">
        <f t="shared" si="2"/>
        <v>0</v>
      </c>
      <c r="N111" s="32"/>
    </row>
    <row r="112" spans="1:14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3">
        <v>82439</v>
      </c>
      <c r="H112" s="185">
        <v>84991</v>
      </c>
      <c r="I112" s="32"/>
      <c r="J112" s="33">
        <v>1090</v>
      </c>
      <c r="K112" s="83">
        <v>82439</v>
      </c>
      <c r="L112" s="34">
        <f t="shared" si="2"/>
        <v>0</v>
      </c>
      <c r="N112" s="32"/>
    </row>
    <row r="113" spans="1:15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3">
        <v>109525</v>
      </c>
      <c r="H113" s="185">
        <v>96078</v>
      </c>
      <c r="I113" s="32"/>
      <c r="J113" s="33">
        <v>1091</v>
      </c>
      <c r="K113" s="83">
        <v>109525</v>
      </c>
      <c r="L113" s="34">
        <f t="shared" si="2"/>
        <v>0</v>
      </c>
      <c r="N113" s="32"/>
    </row>
    <row r="114" spans="1:15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3">
        <v>5890</v>
      </c>
      <c r="H114" s="185">
        <v>7673</v>
      </c>
      <c r="I114" s="32"/>
      <c r="J114" s="33">
        <v>1092</v>
      </c>
      <c r="K114" s="83">
        <v>5890</v>
      </c>
      <c r="L114" s="34">
        <f t="shared" si="2"/>
        <v>0</v>
      </c>
      <c r="N114" s="32"/>
    </row>
    <row r="115" spans="1:15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3">
        <f>17922-2</f>
        <v>17920</v>
      </c>
      <c r="H115" s="185">
        <f>4019-2</f>
        <v>4017</v>
      </c>
      <c r="I115" s="32"/>
      <c r="J115" s="33">
        <v>1093</v>
      </c>
      <c r="K115" s="83">
        <v>17922</v>
      </c>
      <c r="L115" s="34">
        <f t="shared" si="2"/>
        <v>-2</v>
      </c>
      <c r="N115" s="32"/>
    </row>
    <row r="116" spans="1:15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0</v>
      </c>
      <c r="H116" s="188">
        <f>IF((H108+H110+H112+H114-H109-H111-H113-H115)&gt;0,(H108+H110+H112+H114-H109-H111-H113-H115),0)</f>
        <v>0</v>
      </c>
      <c r="I116" s="32"/>
      <c r="J116" s="33">
        <v>1094</v>
      </c>
      <c r="K116" s="191">
        <v>0</v>
      </c>
      <c r="L116" s="34">
        <f t="shared" si="2"/>
        <v>0</v>
      </c>
      <c r="N116" s="32"/>
    </row>
    <row r="117" spans="1:15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183747</v>
      </c>
      <c r="H117" s="184">
        <f>IF((H108+H110+H112+H114-H109-H111-H113-H115)&lt;0,-(H108+H110+H112+H114-H109-H111-H113-H115),0)</f>
        <v>219809</v>
      </c>
      <c r="I117" s="32"/>
      <c r="J117" s="33">
        <v>1095</v>
      </c>
      <c r="K117" s="41">
        <v>183747</v>
      </c>
      <c r="L117" s="34">
        <f t="shared" si="2"/>
        <v>0</v>
      </c>
      <c r="N117" s="32"/>
    </row>
    <row r="118" spans="1:15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3">
        <v>0</v>
      </c>
      <c r="H118" s="185">
        <v>0</v>
      </c>
      <c r="I118" s="32"/>
      <c r="J118" s="33">
        <v>1096</v>
      </c>
      <c r="K118" s="83">
        <v>0</v>
      </c>
      <c r="L118" s="34">
        <f t="shared" ref="L118:L134" si="3">G118-K118</f>
        <v>0</v>
      </c>
      <c r="N118" s="32"/>
    </row>
    <row r="119" spans="1:15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3">
        <v>182</v>
      </c>
      <c r="H119" s="185">
        <f>1350-1350</f>
        <v>0</v>
      </c>
      <c r="I119" s="32"/>
      <c r="J119" s="33">
        <v>1097</v>
      </c>
      <c r="K119" s="83">
        <v>182</v>
      </c>
      <c r="L119" s="34">
        <f t="shared" si="3"/>
        <v>0</v>
      </c>
      <c r="N119" s="32"/>
    </row>
    <row r="120" spans="1:15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3">
        <f>IF((G116+G118-G117-G119)&gt;0,(G116+G118-G117-G119),0)</f>
        <v>0</v>
      </c>
      <c r="H120" s="185">
        <f>IF((H116+H118-H117-H119)&gt;0,(H116+H118-H117-H119),0)</f>
        <v>0</v>
      </c>
      <c r="I120" s="32"/>
      <c r="J120" s="33">
        <v>1098</v>
      </c>
      <c r="K120" s="83">
        <v>0</v>
      </c>
      <c r="L120" s="34">
        <f t="shared" si="3"/>
        <v>0</v>
      </c>
      <c r="N120" s="32"/>
    </row>
    <row r="121" spans="1:15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3">
        <f>IF((G116+G118-G117-G119)&lt;0,-(G116+G118-G117-G119),0)</f>
        <v>183929</v>
      </c>
      <c r="H121" s="185">
        <f>IF((H116+H118-H117-H119)&lt;0,-(H116+H118-H117-H119),0)</f>
        <v>219809</v>
      </c>
      <c r="I121" s="32"/>
      <c r="J121" s="33">
        <v>1099</v>
      </c>
      <c r="K121" s="83">
        <v>183929</v>
      </c>
      <c r="L121" s="34">
        <f t="shared" si="3"/>
        <v>0</v>
      </c>
      <c r="N121" s="32"/>
    </row>
    <row r="122" spans="1:15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189"/>
      <c r="H122" s="186"/>
      <c r="I122" s="32"/>
      <c r="J122" s="43"/>
      <c r="K122" s="189"/>
      <c r="L122" s="45">
        <f t="shared" si="3"/>
        <v>0</v>
      </c>
      <c r="N122" s="32"/>
    </row>
    <row r="123" spans="1:15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189">
        <v>0</v>
      </c>
      <c r="H123" s="186">
        <v>0</v>
      </c>
      <c r="I123" s="32"/>
      <c r="J123" s="33">
        <v>1100</v>
      </c>
      <c r="K123" s="189">
        <v>0</v>
      </c>
      <c r="L123" s="34">
        <f t="shared" si="3"/>
        <v>0</v>
      </c>
      <c r="N123" s="32"/>
    </row>
    <row r="124" spans="1:15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189">
        <v>0</v>
      </c>
      <c r="H124" s="186">
        <v>0</v>
      </c>
      <c r="I124" s="32"/>
      <c r="J124" s="33">
        <v>1101</v>
      </c>
      <c r="K124" s="189">
        <v>0</v>
      </c>
      <c r="L124" s="34">
        <f t="shared" si="3"/>
        <v>0</v>
      </c>
      <c r="N124" s="32"/>
    </row>
    <row r="125" spans="1:15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189">
        <v>0</v>
      </c>
      <c r="H125" s="186">
        <v>0</v>
      </c>
      <c r="I125" s="32"/>
      <c r="J125" s="33">
        <v>1102</v>
      </c>
      <c r="K125" s="189">
        <v>0</v>
      </c>
      <c r="L125" s="34">
        <f t="shared" si="3"/>
        <v>0</v>
      </c>
      <c r="N125" s="32"/>
    </row>
    <row r="126" spans="1:15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191" t="s">
        <v>330</v>
      </c>
      <c r="H126" s="188" t="str">
        <f>IF((H120-H121-H123+H124-H125)&gt;0,H120-H121-H123+H124-H125,"0")</f>
        <v>0</v>
      </c>
      <c r="I126" s="32"/>
      <c r="J126" s="33">
        <v>1103</v>
      </c>
      <c r="K126" s="191">
        <v>0</v>
      </c>
      <c r="L126" s="34">
        <f t="shared" si="3"/>
        <v>0</v>
      </c>
      <c r="N126" s="32"/>
    </row>
    <row r="127" spans="1:15">
      <c r="A127" s="29"/>
      <c r="B127" s="27"/>
      <c r="C127" s="27"/>
      <c r="D127" s="53" t="s">
        <v>272</v>
      </c>
      <c r="E127" s="29" t="s">
        <v>284</v>
      </c>
      <c r="F127" s="30"/>
      <c r="G127" s="41"/>
      <c r="H127" s="184"/>
      <c r="I127" s="32"/>
      <c r="J127" s="33">
        <v>1104</v>
      </c>
      <c r="K127" s="41">
        <v>0</v>
      </c>
      <c r="L127" s="34">
        <f t="shared" si="3"/>
        <v>0</v>
      </c>
      <c r="N127" s="32"/>
    </row>
    <row r="128" spans="1:15">
      <c r="A128" s="29"/>
      <c r="B128" s="27"/>
      <c r="C128" s="27"/>
      <c r="D128" s="53" t="s">
        <v>273</v>
      </c>
      <c r="E128" s="29" t="s">
        <v>285</v>
      </c>
      <c r="F128" s="30"/>
      <c r="G128" s="41"/>
      <c r="H128" s="184"/>
      <c r="I128" s="32"/>
      <c r="J128" s="33">
        <v>1105</v>
      </c>
      <c r="K128" s="41">
        <v>0</v>
      </c>
      <c r="L128" s="34">
        <f t="shared" si="3"/>
        <v>0</v>
      </c>
      <c r="N128" s="32"/>
      <c r="O128" s="280"/>
    </row>
    <row r="129" spans="1:15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>
        <f>IF((G120-G121-G123+G124-G125)&lt;0,-(G120-G121-G123+G124-G125),"0")</f>
        <v>183929</v>
      </c>
      <c r="H129" s="188">
        <f>IF((H120-H121-H123+H124-H125)&lt;0,-(H120-H121-H123+H124-H125),"0")</f>
        <v>219809</v>
      </c>
      <c r="I129" s="32"/>
      <c r="J129" s="33">
        <v>1106</v>
      </c>
      <c r="K129" s="191">
        <v>183929</v>
      </c>
      <c r="L129" s="34">
        <f t="shared" si="3"/>
        <v>0</v>
      </c>
      <c r="N129" s="32"/>
      <c r="O129" s="188">
        <v>219809</v>
      </c>
    </row>
    <row r="130" spans="1:15">
      <c r="A130" s="29"/>
      <c r="B130" s="27"/>
      <c r="C130" s="27"/>
      <c r="D130" s="39" t="s">
        <v>274</v>
      </c>
      <c r="E130" s="29" t="s">
        <v>287</v>
      </c>
      <c r="F130" s="30"/>
      <c r="G130" s="189">
        <v>0</v>
      </c>
      <c r="H130" s="186">
        <v>0</v>
      </c>
      <c r="I130" s="32"/>
      <c r="J130" s="33">
        <v>1107</v>
      </c>
      <c r="K130" s="189">
        <v>0</v>
      </c>
      <c r="L130" s="34">
        <f t="shared" si="3"/>
        <v>0</v>
      </c>
      <c r="N130" s="32"/>
      <c r="O130" s="188">
        <v>183929</v>
      </c>
    </row>
    <row r="131" spans="1:15">
      <c r="A131" s="29"/>
      <c r="B131" s="27"/>
      <c r="C131" s="27"/>
      <c r="D131" s="39" t="s">
        <v>275</v>
      </c>
      <c r="E131" s="29" t="s">
        <v>288</v>
      </c>
      <c r="F131" s="30"/>
      <c r="G131" s="189">
        <v>0</v>
      </c>
      <c r="H131" s="186">
        <v>0</v>
      </c>
      <c r="I131" s="32"/>
      <c r="J131" s="33">
        <v>1108</v>
      </c>
      <c r="K131" s="189">
        <v>0</v>
      </c>
      <c r="L131" s="34">
        <f t="shared" si="3"/>
        <v>0</v>
      </c>
      <c r="N131" s="32"/>
      <c r="O131" s="280"/>
    </row>
    <row r="132" spans="1:15">
      <c r="A132" s="29"/>
      <c r="B132" s="27" t="s">
        <v>93</v>
      </c>
      <c r="C132" s="27"/>
      <c r="D132" s="28" t="s">
        <v>94</v>
      </c>
      <c r="E132" s="29"/>
      <c r="F132" s="30"/>
      <c r="G132" s="189">
        <v>0</v>
      </c>
      <c r="H132" s="186">
        <v>0</v>
      </c>
      <c r="I132" s="32"/>
      <c r="J132" s="33">
        <v>1109</v>
      </c>
      <c r="K132" s="189">
        <v>0</v>
      </c>
      <c r="L132" s="34">
        <f t="shared" si="3"/>
        <v>0</v>
      </c>
      <c r="N132" s="32"/>
    </row>
    <row r="133" spans="1:15">
      <c r="A133" s="29"/>
      <c r="B133" s="27"/>
      <c r="C133" s="27"/>
      <c r="D133" s="39" t="s">
        <v>276</v>
      </c>
      <c r="E133" s="29" t="s">
        <v>289</v>
      </c>
      <c r="F133" s="30"/>
      <c r="G133" s="189">
        <v>0</v>
      </c>
      <c r="H133" s="186">
        <v>0</v>
      </c>
      <c r="I133" s="32"/>
      <c r="J133" s="33">
        <v>1110</v>
      </c>
      <c r="K133" s="189">
        <v>0</v>
      </c>
      <c r="L133" s="34">
        <f t="shared" si="3"/>
        <v>0</v>
      </c>
      <c r="N133" s="32"/>
    </row>
    <row r="134" spans="1:15" ht="25.5">
      <c r="A134" s="29"/>
      <c r="B134" s="27"/>
      <c r="C134" s="27"/>
      <c r="D134" s="39" t="s">
        <v>277</v>
      </c>
      <c r="E134" s="29" t="s">
        <v>290</v>
      </c>
      <c r="F134" s="30"/>
      <c r="G134" s="189">
        <v>0</v>
      </c>
      <c r="H134" s="186">
        <v>0</v>
      </c>
      <c r="I134" s="32"/>
      <c r="J134" s="33">
        <v>1111</v>
      </c>
      <c r="K134" s="189">
        <v>0</v>
      </c>
      <c r="L134" s="34">
        <f t="shared" si="3"/>
        <v>0</v>
      </c>
      <c r="N134" s="32"/>
    </row>
    <row r="135" spans="1:15" ht="13.5" customHeight="1">
      <c r="H135" s="92"/>
      <c r="J135" s="33"/>
      <c r="K135" s="57"/>
      <c r="N135" s="32"/>
    </row>
    <row r="136" spans="1:15">
      <c r="N136" s="32"/>
    </row>
    <row r="137" spans="1:15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N137" s="32"/>
    </row>
    <row r="138" spans="1:15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N138" s="32"/>
    </row>
    <row r="139" spans="1:15">
      <c r="A139" s="1"/>
      <c r="B139" s="2"/>
      <c r="C139" s="58"/>
      <c r="D139" s="59"/>
      <c r="E139" s="60"/>
      <c r="F139" s="60"/>
      <c r="G139" s="276"/>
      <c r="H139" s="61"/>
      <c r="N139" s="32"/>
    </row>
    <row r="140" spans="1:15">
      <c r="A140" s="62"/>
      <c r="B140" s="63"/>
      <c r="C140" s="64"/>
      <c r="D140" s="64"/>
      <c r="E140" s="64"/>
      <c r="F140" s="64"/>
      <c r="G140" s="277"/>
      <c r="H140" s="65"/>
      <c r="N140" s="32"/>
    </row>
    <row r="141" spans="1:15">
      <c r="A141" s="1"/>
      <c r="B141" s="2"/>
      <c r="C141" s="58"/>
      <c r="D141" s="59"/>
      <c r="E141" s="60"/>
      <c r="F141" s="60"/>
      <c r="G141" s="278"/>
      <c r="H141" s="66"/>
      <c r="N141" s="32"/>
    </row>
    <row r="142" spans="1:15">
      <c r="A142" s="1"/>
      <c r="B142" s="2"/>
      <c r="C142" s="58"/>
      <c r="D142" s="59"/>
      <c r="E142" s="60"/>
      <c r="F142" s="60"/>
      <c r="G142" s="276"/>
      <c r="H142" s="61"/>
      <c r="N142" s="32"/>
    </row>
    <row r="143" spans="1:15">
      <c r="A143" s="1"/>
      <c r="B143" s="2"/>
      <c r="C143" s="58"/>
      <c r="D143" s="59"/>
      <c r="E143" s="60"/>
      <c r="F143" s="60"/>
      <c r="G143" s="276"/>
      <c r="H143" s="61"/>
      <c r="N143" s="32"/>
    </row>
    <row r="144" spans="1:15">
      <c r="A144" s="1"/>
      <c r="B144" s="2"/>
      <c r="C144" s="58"/>
      <c r="D144" s="59"/>
      <c r="E144" s="60"/>
      <c r="F144" s="60"/>
      <c r="G144" s="276"/>
      <c r="H144" s="61"/>
      <c r="N144" s="32"/>
    </row>
    <row r="145" spans="1:14">
      <c r="A145" s="1"/>
      <c r="B145" s="2"/>
      <c r="C145" s="58"/>
      <c r="D145" s="59"/>
      <c r="E145" s="60"/>
      <c r="F145" s="60"/>
      <c r="G145" s="276"/>
      <c r="H145" s="61"/>
      <c r="N145" s="32"/>
    </row>
    <row r="146" spans="1:14">
      <c r="A146" s="1"/>
      <c r="B146" s="2"/>
      <c r="C146" s="58"/>
      <c r="D146" s="59"/>
      <c r="E146" s="60"/>
      <c r="F146" s="60"/>
      <c r="G146" s="276"/>
      <c r="H146" s="61"/>
      <c r="N146" s="32"/>
    </row>
    <row r="147" spans="1:14">
      <c r="A147" s="1"/>
      <c r="B147" s="2"/>
      <c r="C147" s="58"/>
      <c r="D147" s="59"/>
      <c r="E147" s="60"/>
      <c r="F147" s="60"/>
      <c r="G147" s="276"/>
      <c r="H147" s="61"/>
      <c r="N147" s="32"/>
    </row>
    <row r="148" spans="1:14">
      <c r="A148" s="1"/>
      <c r="B148" s="2"/>
      <c r="C148" s="58"/>
      <c r="D148" s="59"/>
      <c r="E148" s="60"/>
      <c r="F148" s="60"/>
      <c r="G148" s="279"/>
      <c r="H148" s="61"/>
      <c r="N148" s="32"/>
    </row>
    <row r="149" spans="1:14">
      <c r="A149" s="1"/>
      <c r="B149" s="2"/>
      <c r="C149" s="58"/>
      <c r="D149" s="59"/>
      <c r="E149" s="60"/>
      <c r="F149" s="60"/>
      <c r="G149" s="276"/>
      <c r="H149" s="61"/>
      <c r="N149" s="32"/>
    </row>
    <row r="150" spans="1:14">
      <c r="A150" s="1"/>
      <c r="B150" s="2"/>
      <c r="C150" s="58"/>
      <c r="D150" s="59"/>
      <c r="E150" s="60"/>
      <c r="F150" s="60"/>
      <c r="G150" s="276"/>
      <c r="H150" s="61"/>
      <c r="N150" s="32"/>
    </row>
    <row r="151" spans="1:14">
      <c r="A151" s="1"/>
      <c r="B151" s="2"/>
      <c r="C151" s="58"/>
      <c r="D151" s="59"/>
      <c r="E151" s="60"/>
      <c r="F151" s="60"/>
      <c r="G151" s="276"/>
      <c r="H151" s="61"/>
      <c r="N151" s="32"/>
    </row>
    <row r="152" spans="1:14">
      <c r="A152" s="1"/>
      <c r="B152" s="2"/>
      <c r="C152" s="58"/>
      <c r="D152" s="59"/>
      <c r="E152" s="60"/>
      <c r="F152" s="60"/>
      <c r="G152" s="276"/>
      <c r="H152" s="61"/>
      <c r="N152" s="32"/>
    </row>
    <row r="153" spans="1:14">
      <c r="A153" s="1"/>
      <c r="B153" s="2"/>
      <c r="C153" s="58"/>
      <c r="D153" s="59"/>
      <c r="E153" s="60"/>
      <c r="F153" s="60"/>
      <c r="G153" s="276"/>
      <c r="H153" s="61"/>
      <c r="N153" s="32"/>
    </row>
    <row r="154" spans="1:14">
      <c r="A154" s="1"/>
      <c r="B154" s="2"/>
      <c r="C154" s="58"/>
      <c r="D154" s="59"/>
      <c r="E154" s="60"/>
      <c r="F154" s="60"/>
      <c r="G154" s="276"/>
      <c r="H154" s="61"/>
      <c r="N154" s="32"/>
    </row>
    <row r="155" spans="1:14">
      <c r="A155" s="1"/>
      <c r="B155" s="2"/>
      <c r="C155" s="58"/>
      <c r="D155" s="59"/>
      <c r="E155" s="60"/>
      <c r="F155" s="60"/>
      <c r="G155" s="276"/>
      <c r="H155" s="61"/>
      <c r="N155" s="32"/>
    </row>
    <row r="156" spans="1:14">
      <c r="A156" s="1"/>
      <c r="B156" s="2"/>
      <c r="C156" s="58"/>
      <c r="D156" s="59"/>
      <c r="E156" s="60"/>
      <c r="F156" s="60"/>
      <c r="G156" s="276"/>
      <c r="H156" s="61"/>
      <c r="N156" s="32"/>
    </row>
    <row r="157" spans="1:14">
      <c r="A157" s="1"/>
      <c r="B157" s="2"/>
      <c r="C157" s="58"/>
      <c r="D157" s="59"/>
      <c r="E157" s="60"/>
      <c r="F157" s="60"/>
      <c r="G157" s="276"/>
      <c r="H157" s="61"/>
      <c r="N157" s="32"/>
    </row>
    <row r="158" spans="1:14">
      <c r="A158" s="1"/>
      <c r="B158" s="2"/>
      <c r="C158" s="58"/>
      <c r="D158" s="59"/>
      <c r="E158" s="60"/>
      <c r="F158" s="60"/>
      <c r="G158" s="276"/>
      <c r="H158" s="61"/>
      <c r="N158" s="32"/>
    </row>
    <row r="159" spans="1:14">
      <c r="A159" s="1"/>
      <c r="B159" s="2"/>
      <c r="C159" s="58"/>
      <c r="D159" s="59"/>
      <c r="E159" s="60"/>
      <c r="F159" s="60"/>
      <c r="G159" s="276"/>
      <c r="H159" s="61"/>
      <c r="N159" s="32"/>
    </row>
    <row r="160" spans="1:14">
      <c r="A160" s="1"/>
      <c r="B160" s="2"/>
      <c r="C160" s="58"/>
      <c r="D160" s="59"/>
      <c r="E160" s="60"/>
      <c r="F160" s="60"/>
      <c r="G160" s="276"/>
      <c r="H160" s="61"/>
      <c r="N160" s="32"/>
    </row>
    <row r="161" spans="1:14">
      <c r="A161" s="1"/>
      <c r="B161" s="2"/>
      <c r="C161" s="58"/>
      <c r="D161" s="59"/>
      <c r="E161" s="60"/>
      <c r="F161" s="60"/>
      <c r="G161" s="276"/>
      <c r="H161" s="61"/>
      <c r="N161" s="32"/>
    </row>
    <row r="162" spans="1:14">
      <c r="A162" s="1"/>
      <c r="B162" s="2"/>
      <c r="C162" s="58"/>
      <c r="D162" s="59"/>
      <c r="E162" s="60"/>
      <c r="F162" s="60"/>
      <c r="G162" s="276"/>
      <c r="H162" s="61"/>
      <c r="N162" s="32"/>
    </row>
    <row r="163" spans="1:14">
      <c r="A163" s="1"/>
      <c r="B163" s="2"/>
      <c r="C163" s="58"/>
      <c r="D163" s="59"/>
      <c r="E163" s="60"/>
      <c r="F163" s="60"/>
      <c r="G163" s="276"/>
      <c r="H163" s="61"/>
      <c r="N163" s="32"/>
    </row>
    <row r="164" spans="1:14">
      <c r="A164" s="1"/>
      <c r="B164" s="2"/>
      <c r="C164" s="58"/>
      <c r="D164" s="59"/>
      <c r="E164" s="60"/>
      <c r="F164" s="60"/>
      <c r="G164" s="276"/>
      <c r="H164" s="61"/>
      <c r="N164" s="32"/>
    </row>
    <row r="165" spans="1:14">
      <c r="A165" s="1"/>
      <c r="B165" s="2"/>
      <c r="C165" s="58"/>
      <c r="D165" s="59"/>
      <c r="E165" s="60"/>
      <c r="F165" s="60"/>
      <c r="G165" s="276"/>
      <c r="H165" s="61"/>
      <c r="N165" s="32"/>
    </row>
    <row r="166" spans="1:14">
      <c r="A166" s="1"/>
      <c r="B166" s="2"/>
      <c r="C166" s="3"/>
      <c r="D166" s="68"/>
      <c r="E166" s="4"/>
      <c r="F166" s="4"/>
      <c r="N166" s="32"/>
    </row>
    <row r="167" spans="1:14">
      <c r="A167" s="1"/>
      <c r="B167" s="2"/>
      <c r="C167" s="3"/>
      <c r="D167" s="68"/>
      <c r="E167" s="4"/>
      <c r="F167" s="4"/>
      <c r="N167" s="32"/>
    </row>
    <row r="168" spans="1:14">
      <c r="A168" s="1"/>
      <c r="B168" s="2"/>
      <c r="C168" s="3"/>
      <c r="D168" s="68"/>
      <c r="E168" s="4"/>
      <c r="F168" s="4"/>
      <c r="N168" s="32"/>
    </row>
    <row r="169" spans="1:14">
      <c r="A169" s="1"/>
      <c r="B169" s="2"/>
      <c r="C169" s="3"/>
      <c r="D169" s="68"/>
      <c r="E169" s="4"/>
      <c r="F169" s="4"/>
      <c r="N169" s="32"/>
    </row>
    <row r="170" spans="1:14">
      <c r="A170" s="1"/>
      <c r="B170" s="2"/>
      <c r="C170" s="3"/>
      <c r="D170" s="68"/>
      <c r="E170" s="4"/>
      <c r="F170" s="4"/>
      <c r="N170" s="32"/>
    </row>
    <row r="171" spans="1:14">
      <c r="A171" s="1"/>
      <c r="B171" s="2"/>
      <c r="C171" s="3"/>
      <c r="D171" s="68"/>
      <c r="E171" s="4"/>
      <c r="F171" s="4"/>
      <c r="N171" s="32"/>
    </row>
    <row r="172" spans="1:14">
      <c r="A172" s="1"/>
      <c r="B172" s="2"/>
      <c r="C172" s="3"/>
      <c r="D172" s="68"/>
      <c r="E172" s="4"/>
      <c r="F172" s="4"/>
      <c r="N172" s="32"/>
    </row>
    <row r="173" spans="1:14">
      <c r="A173" s="1"/>
      <c r="B173" s="2"/>
      <c r="C173" s="3"/>
      <c r="D173" s="68"/>
      <c r="E173" s="4"/>
      <c r="F173" s="4"/>
      <c r="N173" s="32"/>
    </row>
    <row r="174" spans="1:14">
      <c r="A174" s="1"/>
      <c r="B174" s="2"/>
      <c r="C174" s="3"/>
      <c r="D174" s="68"/>
      <c r="E174" s="4"/>
      <c r="F174" s="4"/>
      <c r="N174" s="32"/>
    </row>
    <row r="175" spans="1:14">
      <c r="A175" s="1"/>
      <c r="B175" s="2"/>
      <c r="C175" s="3"/>
      <c r="D175" s="68"/>
      <c r="E175" s="4"/>
      <c r="F175" s="4"/>
      <c r="N175" s="32"/>
    </row>
    <row r="176" spans="1:14">
      <c r="A176" s="1"/>
      <c r="B176" s="2"/>
      <c r="C176" s="3"/>
      <c r="D176" s="68"/>
      <c r="E176" s="4"/>
      <c r="F176" s="4"/>
      <c r="N176" s="32"/>
    </row>
    <row r="177" spans="1:14">
      <c r="A177" s="1"/>
      <c r="B177" s="2"/>
      <c r="C177" s="3"/>
      <c r="D177" s="68"/>
      <c r="E177" s="4"/>
      <c r="F177" s="4"/>
      <c r="N177" s="32"/>
    </row>
    <row r="178" spans="1:14">
      <c r="A178" s="1"/>
      <c r="B178" s="2"/>
      <c r="C178" s="3"/>
      <c r="D178" s="68"/>
      <c r="E178" s="4"/>
      <c r="F178" s="4"/>
      <c r="N178" s="32"/>
    </row>
    <row r="179" spans="1:14">
      <c r="A179" s="1"/>
      <c r="B179" s="2"/>
      <c r="C179" s="3"/>
      <c r="D179" s="68"/>
      <c r="E179" s="4"/>
      <c r="F179" s="4"/>
      <c r="N179" s="32"/>
    </row>
    <row r="180" spans="1:14">
      <c r="A180" s="1"/>
      <c r="B180" s="2"/>
      <c r="C180" s="3"/>
      <c r="D180" s="68"/>
      <c r="E180" s="4"/>
      <c r="F180" s="4"/>
      <c r="N180" s="32"/>
    </row>
    <row r="181" spans="1:14">
      <c r="A181" s="1"/>
      <c r="B181" s="2"/>
      <c r="C181" s="3"/>
      <c r="D181" s="68"/>
      <c r="E181" s="4"/>
      <c r="F181" s="4"/>
      <c r="N181" s="32"/>
    </row>
    <row r="182" spans="1:14">
      <c r="A182" s="1"/>
      <c r="B182" s="2"/>
      <c r="C182" s="3"/>
      <c r="D182" s="68"/>
      <c r="E182" s="4"/>
      <c r="F182" s="4"/>
      <c r="N182" s="32"/>
    </row>
    <row r="183" spans="1:14">
      <c r="A183" s="1"/>
      <c r="B183" s="2"/>
      <c r="C183" s="3"/>
      <c r="D183" s="68"/>
      <c r="E183" s="4"/>
      <c r="F183" s="4"/>
      <c r="N183" s="32"/>
    </row>
    <row r="184" spans="1:14">
      <c r="A184" s="1"/>
      <c r="B184" s="2"/>
      <c r="C184" s="3"/>
      <c r="D184" s="68"/>
      <c r="E184" s="4"/>
      <c r="F184" s="4"/>
      <c r="N184" s="32"/>
    </row>
    <row r="185" spans="1:14">
      <c r="A185" s="1"/>
      <c r="B185" s="2"/>
      <c r="C185" s="3"/>
      <c r="D185" s="68"/>
      <c r="E185" s="4"/>
      <c r="F185" s="4"/>
      <c r="N185" s="32"/>
    </row>
    <row r="186" spans="1:14">
      <c r="A186" s="1"/>
      <c r="B186" s="2"/>
      <c r="C186" s="3"/>
      <c r="D186" s="68"/>
      <c r="E186" s="4"/>
      <c r="F186" s="4"/>
      <c r="N186" s="32"/>
    </row>
    <row r="187" spans="1:14">
      <c r="A187" s="1"/>
      <c r="B187" s="2"/>
      <c r="C187" s="3"/>
      <c r="D187" s="68"/>
      <c r="E187" s="4"/>
      <c r="F187" s="4"/>
      <c r="N187" s="32"/>
    </row>
    <row r="188" spans="1:14">
      <c r="A188" s="1"/>
      <c r="B188" s="2"/>
      <c r="C188" s="3"/>
      <c r="D188" s="68"/>
      <c r="E188" s="4"/>
      <c r="F188" s="4"/>
    </row>
    <row r="189" spans="1:14">
      <c r="A189" s="1"/>
      <c r="B189" s="2"/>
      <c r="C189" s="3"/>
      <c r="D189" s="68"/>
      <c r="E189" s="4"/>
      <c r="F189" s="4"/>
    </row>
    <row r="190" spans="1:14">
      <c r="A190" s="1"/>
      <c r="B190" s="2"/>
      <c r="C190" s="3"/>
      <c r="D190" s="68"/>
      <c r="E190" s="4"/>
      <c r="F190" s="4"/>
    </row>
    <row r="191" spans="1:14">
      <c r="A191" s="1"/>
      <c r="B191" s="2"/>
      <c r="C191" s="3"/>
      <c r="D191" s="68"/>
      <c r="E191" s="4"/>
      <c r="F191" s="4"/>
    </row>
    <row r="192" spans="1:14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  <mergeCell ref="G17:H17"/>
    <mergeCell ref="B20:D20"/>
    <mergeCell ref="A137:C137"/>
    <mergeCell ref="D137:F137"/>
    <mergeCell ref="G137:H137"/>
    <mergeCell ref="A138:C138"/>
    <mergeCell ref="D138:F138"/>
    <mergeCell ref="G138:H138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313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171450</xdr:rowOff>
              </to>
            </anchor>
          </objectPr>
        </oleObject>
      </mc:Choice>
      <mc:Fallback>
        <oleObject progId="Word.Document.8" shapeId="1331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B122" zoomScale="130" zoomScaleNormal="130" workbookViewId="0">
      <selection activeCell="I117" sqref="I117"/>
    </sheetView>
  </sheetViews>
  <sheetFormatPr defaultRowHeight="15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259" customWidth="1"/>
    <col min="8" max="8" width="11.85546875" style="226" customWidth="1"/>
    <col min="9" max="9" width="9.140625" style="5"/>
    <col min="10" max="10" width="13.140625" style="5" hidden="1" customWidth="1"/>
    <col min="11" max="11" width="9.140625" style="5" hidden="1" customWidth="1"/>
    <col min="12" max="12" width="9.28515625" style="6" hidden="1" customWidth="1"/>
    <col min="13" max="13" width="9.140625" style="5"/>
    <col min="14" max="14" width="10.5703125" style="5" customWidth="1"/>
    <col min="15" max="15" width="11.7109375" style="5" customWidth="1"/>
    <col min="16" max="16384" width="9.140625" style="5"/>
  </cols>
  <sheetData>
    <row r="1" spans="1:12" ht="16.5" customHeight="1">
      <c r="A1" s="1"/>
      <c r="B1" s="2"/>
      <c r="C1" s="3"/>
      <c r="D1" s="4"/>
      <c r="E1" s="4"/>
      <c r="F1" s="4"/>
    </row>
    <row r="2" spans="1:12">
      <c r="A2" s="319"/>
      <c r="B2" s="319"/>
      <c r="C2" s="319"/>
      <c r="D2" s="319"/>
      <c r="E2" s="4"/>
      <c r="F2" s="4"/>
    </row>
    <row r="3" spans="1:12" ht="13.5" customHeight="1">
      <c r="A3" s="319"/>
      <c r="B3" s="319"/>
      <c r="C3" s="319"/>
      <c r="D3" s="319"/>
      <c r="E3" s="4"/>
      <c r="F3" s="4"/>
    </row>
    <row r="4" spans="1:12" ht="15" customHeight="1">
      <c r="A4" s="319"/>
      <c r="B4" s="319"/>
      <c r="C4" s="319"/>
      <c r="D4" s="319"/>
      <c r="E4" s="4"/>
      <c r="F4" s="4"/>
    </row>
    <row r="5" spans="1:12" ht="16.5" customHeight="1">
      <c r="A5" s="319"/>
      <c r="B5" s="319"/>
      <c r="C5" s="319"/>
      <c r="D5" s="319"/>
      <c r="E5" s="4"/>
      <c r="F5" s="4"/>
    </row>
    <row r="6" spans="1:12">
      <c r="A6" s="319"/>
      <c r="B6" s="319"/>
      <c r="C6" s="319"/>
      <c r="D6" s="319"/>
      <c r="E6" s="4"/>
      <c r="F6" s="4"/>
    </row>
    <row r="7" spans="1:12" ht="13.5" customHeight="1">
      <c r="A7" s="1"/>
      <c r="B7" s="2"/>
      <c r="C7" s="3"/>
      <c r="D7" s="4"/>
      <c r="E7" s="4"/>
      <c r="F7" s="4"/>
    </row>
    <row r="8" spans="1:12" ht="13.5" customHeight="1">
      <c r="A8" s="1"/>
      <c r="B8" s="2"/>
      <c r="C8" s="3"/>
      <c r="D8" s="4"/>
      <c r="E8" s="4"/>
      <c r="F8" s="4"/>
    </row>
    <row r="9" spans="1:12" ht="13.5" customHeight="1">
      <c r="A9" s="1"/>
      <c r="B9" s="2"/>
      <c r="C9" s="3"/>
      <c r="D9" s="4"/>
      <c r="E9" s="4"/>
      <c r="F9" s="4"/>
    </row>
    <row r="10" spans="1:12">
      <c r="A10" s="1"/>
      <c r="B10" s="2"/>
      <c r="C10" s="3"/>
      <c r="D10" s="4"/>
      <c r="E10" s="4"/>
      <c r="F10" s="4"/>
    </row>
    <row r="11" spans="1:12" s="7" customFormat="1" ht="13.5" customHeight="1">
      <c r="A11" s="318"/>
      <c r="B11" s="318"/>
      <c r="C11" s="318"/>
      <c r="D11" s="318"/>
      <c r="E11" s="318"/>
      <c r="F11" s="318"/>
      <c r="G11" s="318"/>
      <c r="H11" s="227"/>
      <c r="L11" s="8"/>
    </row>
    <row r="12" spans="1:12" s="7" customFormat="1" ht="13.5" customHeight="1">
      <c r="A12" s="318"/>
      <c r="B12" s="318"/>
      <c r="C12" s="318"/>
      <c r="D12" s="318"/>
      <c r="E12" s="4"/>
      <c r="F12" s="4"/>
      <c r="G12" s="272"/>
      <c r="H12" s="227"/>
      <c r="L12" s="8"/>
    </row>
    <row r="13" spans="1:12" s="7" customFormat="1" ht="24" customHeight="1">
      <c r="A13" s="1"/>
      <c r="B13" s="2"/>
      <c r="C13" s="3"/>
      <c r="D13" s="4"/>
      <c r="E13" s="4"/>
      <c r="F13" s="4"/>
      <c r="G13" s="272"/>
      <c r="H13" s="228"/>
      <c r="L13" s="8"/>
    </row>
    <row r="14" spans="1:12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L14" s="8"/>
    </row>
    <row r="15" spans="1:12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L15" s="8"/>
    </row>
    <row r="16" spans="1:12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L16" s="8"/>
    </row>
    <row r="17" spans="1:15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L17" s="8"/>
    </row>
    <row r="18" spans="1:15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L18" s="8"/>
    </row>
    <row r="19" spans="1:15" s="7" customFormat="1" ht="37.5" customHeight="1">
      <c r="A19" s="336"/>
      <c r="B19" s="336"/>
      <c r="C19" s="336"/>
      <c r="D19" s="336"/>
      <c r="E19" s="337"/>
      <c r="F19" s="338"/>
      <c r="G19" s="273" t="s">
        <v>4</v>
      </c>
      <c r="H19" s="229" t="s">
        <v>5</v>
      </c>
      <c r="L19" s="8"/>
    </row>
    <row r="20" spans="1:15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274">
        <v>5</v>
      </c>
      <c r="H20" s="230">
        <v>6</v>
      </c>
      <c r="L20" s="8"/>
    </row>
    <row r="21" spans="1:15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75"/>
      <c r="H21" s="231"/>
      <c r="L21" s="25"/>
    </row>
    <row r="22" spans="1:15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41">
        <f>G23+G30+G35+G36</f>
        <v>1267891</v>
      </c>
      <c r="H22" s="184"/>
      <c r="I22" s="32"/>
      <c r="J22" s="33">
        <v>1001</v>
      </c>
      <c r="K22" s="41">
        <v>1267891</v>
      </c>
      <c r="L22" s="34">
        <f t="shared" ref="L22:L53" si="0">G22-K22</f>
        <v>0</v>
      </c>
      <c r="N22" s="32"/>
    </row>
    <row r="23" spans="1:15" ht="25.5" customHeight="1">
      <c r="A23" s="29"/>
      <c r="B23" s="35"/>
      <c r="C23" s="35"/>
      <c r="D23" s="28" t="s">
        <v>292</v>
      </c>
      <c r="E23" s="29" t="s">
        <v>107</v>
      </c>
      <c r="F23" s="36"/>
      <c r="G23" s="83">
        <f>G24+G25-G26-G27-G28+G29</f>
        <v>1261182</v>
      </c>
      <c r="H23" s="185"/>
      <c r="I23" s="32"/>
      <c r="J23" s="33">
        <v>1002</v>
      </c>
      <c r="K23" s="83">
        <v>1261181</v>
      </c>
      <c r="L23" s="34">
        <f t="shared" si="0"/>
        <v>1</v>
      </c>
      <c r="N23" s="32"/>
      <c r="O23" s="38"/>
    </row>
    <row r="24" spans="1:15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189">
        <v>0</v>
      </c>
      <c r="H24" s="186"/>
      <c r="I24" s="32"/>
      <c r="J24" s="33">
        <v>1003</v>
      </c>
      <c r="K24" s="189">
        <v>0</v>
      </c>
      <c r="L24" s="34">
        <f t="shared" si="0"/>
        <v>0</v>
      </c>
      <c r="N24" s="32"/>
    </row>
    <row r="25" spans="1:15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189">
        <v>1443600</v>
      </c>
      <c r="H25" s="186"/>
      <c r="I25" s="32"/>
      <c r="J25" s="33">
        <v>1004</v>
      </c>
      <c r="K25" s="189">
        <v>1443600</v>
      </c>
      <c r="L25" s="34">
        <f t="shared" si="0"/>
        <v>0</v>
      </c>
      <c r="N25" s="32"/>
    </row>
    <row r="26" spans="1:15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189">
        <v>23206</v>
      </c>
      <c r="H26" s="186"/>
      <c r="I26" s="32"/>
      <c r="J26" s="33">
        <v>1005</v>
      </c>
      <c r="K26" s="189">
        <v>23206</v>
      </c>
      <c r="L26" s="34">
        <f t="shared" si="0"/>
        <v>0</v>
      </c>
      <c r="N26" s="32"/>
      <c r="O26" s="38"/>
    </row>
    <row r="27" spans="1:15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189">
        <v>42660</v>
      </c>
      <c r="H27" s="186"/>
      <c r="I27" s="32"/>
      <c r="J27" s="33">
        <v>1006</v>
      </c>
      <c r="K27" s="189">
        <v>42660</v>
      </c>
      <c r="L27" s="34">
        <f t="shared" si="0"/>
        <v>0</v>
      </c>
      <c r="N27" s="32"/>
    </row>
    <row r="28" spans="1:15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189">
        <v>116552</v>
      </c>
      <c r="H28" s="186"/>
      <c r="I28" s="32"/>
      <c r="J28" s="33">
        <v>1007</v>
      </c>
      <c r="K28" s="189">
        <v>116552</v>
      </c>
      <c r="L28" s="34">
        <f t="shared" si="0"/>
        <v>0</v>
      </c>
      <c r="N28" s="32"/>
    </row>
    <row r="29" spans="1:15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189">
        <v>0</v>
      </c>
      <c r="H29" s="186"/>
      <c r="I29" s="32"/>
      <c r="J29" s="33">
        <v>1008</v>
      </c>
      <c r="K29" s="189">
        <v>0</v>
      </c>
      <c r="L29" s="34">
        <f t="shared" si="0"/>
        <v>0</v>
      </c>
      <c r="N29" s="32"/>
    </row>
    <row r="30" spans="1:15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v>0</v>
      </c>
      <c r="H30" s="185"/>
      <c r="I30" s="32"/>
      <c r="J30" s="33">
        <v>1009</v>
      </c>
      <c r="K30" s="83">
        <v>0</v>
      </c>
      <c r="L30" s="34">
        <f t="shared" si="0"/>
        <v>0</v>
      </c>
      <c r="N30" s="32"/>
    </row>
    <row r="31" spans="1:15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189">
        <v>0</v>
      </c>
      <c r="H31" s="186"/>
      <c r="I31" s="32"/>
      <c r="J31" s="33">
        <v>1010</v>
      </c>
      <c r="K31" s="189">
        <v>0</v>
      </c>
      <c r="L31" s="34">
        <f t="shared" si="0"/>
        <v>0</v>
      </c>
      <c r="N31" s="32"/>
    </row>
    <row r="32" spans="1:15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189">
        <v>0</v>
      </c>
      <c r="H32" s="186"/>
      <c r="I32" s="32"/>
      <c r="J32" s="33">
        <v>1011</v>
      </c>
      <c r="K32" s="189">
        <v>0</v>
      </c>
      <c r="L32" s="34">
        <f t="shared" si="0"/>
        <v>0</v>
      </c>
      <c r="N32" s="32"/>
    </row>
    <row r="33" spans="1:14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189">
        <v>0</v>
      </c>
      <c r="H33" s="186"/>
      <c r="I33" s="32"/>
      <c r="J33" s="33">
        <v>1012</v>
      </c>
      <c r="K33" s="189">
        <v>0</v>
      </c>
      <c r="L33" s="34">
        <f t="shared" si="0"/>
        <v>0</v>
      </c>
      <c r="N33" s="32"/>
    </row>
    <row r="34" spans="1:14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189">
        <v>0</v>
      </c>
      <c r="H34" s="186"/>
      <c r="I34" s="32"/>
      <c r="J34" s="33">
        <v>1013</v>
      </c>
      <c r="K34" s="189">
        <v>0</v>
      </c>
      <c r="L34" s="34">
        <f t="shared" si="0"/>
        <v>0</v>
      </c>
      <c r="N34" s="32"/>
    </row>
    <row r="35" spans="1:14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3">
        <v>1027</v>
      </c>
      <c r="H35" s="185"/>
      <c r="I35" s="32"/>
      <c r="J35" s="33">
        <v>1014</v>
      </c>
      <c r="K35" s="83">
        <v>1027</v>
      </c>
      <c r="L35" s="34">
        <f t="shared" si="0"/>
        <v>0</v>
      </c>
      <c r="N35" s="32"/>
    </row>
    <row r="36" spans="1:14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3">
        <v>5682</v>
      </c>
      <c r="H36" s="185"/>
      <c r="I36" s="32"/>
      <c r="J36" s="33">
        <v>1015</v>
      </c>
      <c r="K36" s="83">
        <v>5682</v>
      </c>
      <c r="L36" s="34">
        <f t="shared" si="0"/>
        <v>0</v>
      </c>
      <c r="N36" s="32"/>
    </row>
    <row r="37" spans="1:14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41">
        <f>G38+G47+G55-G56-G65+G66-G67+G68+G69</f>
        <v>1161467</v>
      </c>
      <c r="H37" s="184"/>
      <c r="I37" s="32"/>
      <c r="J37" s="33">
        <v>1016</v>
      </c>
      <c r="K37" s="41">
        <v>1161467</v>
      </c>
      <c r="L37" s="34">
        <f t="shared" si="0"/>
        <v>0</v>
      </c>
      <c r="N37" s="32"/>
    </row>
    <row r="38" spans="1:14" ht="32.25" customHeight="1">
      <c r="A38" s="29"/>
      <c r="B38" s="35"/>
      <c r="C38" s="35"/>
      <c r="D38" s="28" t="s">
        <v>295</v>
      </c>
      <c r="E38" s="29" t="s">
        <v>128</v>
      </c>
      <c r="F38" s="36"/>
      <c r="G38" s="83">
        <f>G39+G40+G41+G42+G43+G44+G45+G46</f>
        <v>30934</v>
      </c>
      <c r="H38" s="185"/>
      <c r="I38" s="32"/>
      <c r="J38" s="33">
        <v>1017</v>
      </c>
      <c r="K38" s="83">
        <v>30934</v>
      </c>
      <c r="L38" s="34">
        <f t="shared" si="0"/>
        <v>0</v>
      </c>
      <c r="N38" s="32"/>
    </row>
    <row r="39" spans="1:14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189">
        <v>0</v>
      </c>
      <c r="H39" s="186"/>
      <c r="I39" s="32"/>
      <c r="J39" s="33">
        <v>1018</v>
      </c>
      <c r="K39" s="189">
        <v>0</v>
      </c>
      <c r="L39" s="34">
        <f t="shared" si="0"/>
        <v>0</v>
      </c>
      <c r="N39" s="32"/>
    </row>
    <row r="40" spans="1:14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189">
        <v>0</v>
      </c>
      <c r="H40" s="186"/>
      <c r="I40" s="32"/>
      <c r="J40" s="33">
        <v>1019</v>
      </c>
      <c r="K40" s="189">
        <v>0</v>
      </c>
      <c r="L40" s="34">
        <f t="shared" si="0"/>
        <v>0</v>
      </c>
      <c r="N40" s="32"/>
    </row>
    <row r="41" spans="1:14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189">
        <v>28197</v>
      </c>
      <c r="H41" s="186"/>
      <c r="I41" s="32"/>
      <c r="J41" s="33">
        <v>1020</v>
      </c>
      <c r="K41" s="189">
        <v>28197</v>
      </c>
      <c r="L41" s="34">
        <f t="shared" si="0"/>
        <v>0</v>
      </c>
      <c r="N41" s="32"/>
    </row>
    <row r="42" spans="1:14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189">
        <v>47</v>
      </c>
      <c r="H42" s="186"/>
      <c r="I42" s="32"/>
      <c r="J42" s="33">
        <v>1021</v>
      </c>
      <c r="K42" s="189">
        <v>47</v>
      </c>
      <c r="L42" s="34">
        <f t="shared" si="0"/>
        <v>0</v>
      </c>
      <c r="N42" s="32"/>
    </row>
    <row r="43" spans="1:14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189">
        <v>0</v>
      </c>
      <c r="H43" s="186"/>
      <c r="I43" s="32"/>
      <c r="J43" s="33">
        <v>1022</v>
      </c>
      <c r="K43" s="189">
        <v>0</v>
      </c>
      <c r="L43" s="34">
        <f t="shared" si="0"/>
        <v>0</v>
      </c>
      <c r="N43" s="32"/>
    </row>
    <row r="44" spans="1:14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189">
        <v>0</v>
      </c>
      <c r="H44" s="186"/>
      <c r="I44" s="32"/>
      <c r="J44" s="33">
        <v>1023</v>
      </c>
      <c r="K44" s="189">
        <v>0</v>
      </c>
      <c r="L44" s="34">
        <f t="shared" si="0"/>
        <v>0</v>
      </c>
      <c r="N44" s="32"/>
    </row>
    <row r="45" spans="1:14" ht="38.25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189">
        <v>2690</v>
      </c>
      <c r="H45" s="186"/>
      <c r="I45" s="32"/>
      <c r="J45" s="33">
        <v>1024</v>
      </c>
      <c r="K45" s="189">
        <v>2690</v>
      </c>
      <c r="L45" s="34">
        <f t="shared" si="0"/>
        <v>0</v>
      </c>
      <c r="N45" s="32"/>
    </row>
    <row r="46" spans="1:14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189">
        <v>0</v>
      </c>
      <c r="H46" s="186"/>
      <c r="I46" s="32"/>
      <c r="J46" s="33">
        <v>1025</v>
      </c>
      <c r="K46" s="189">
        <v>0</v>
      </c>
      <c r="L46" s="34">
        <f t="shared" si="0"/>
        <v>0</v>
      </c>
      <c r="N46" s="32"/>
    </row>
    <row r="47" spans="1:14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1114638</v>
      </c>
      <c r="H47" s="185"/>
      <c r="I47" s="32"/>
      <c r="J47" s="33">
        <v>1026</v>
      </c>
      <c r="K47" s="83">
        <v>1114637</v>
      </c>
      <c r="L47" s="34">
        <f t="shared" si="0"/>
        <v>1</v>
      </c>
      <c r="N47" s="32"/>
    </row>
    <row r="48" spans="1:14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189">
        <v>0</v>
      </c>
      <c r="H48" s="186"/>
      <c r="I48" s="32"/>
      <c r="J48" s="33">
        <v>1027</v>
      </c>
      <c r="K48" s="189">
        <v>0</v>
      </c>
      <c r="L48" s="34">
        <f t="shared" si="0"/>
        <v>0</v>
      </c>
      <c r="N48" s="32"/>
    </row>
    <row r="49" spans="1:14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189">
        <v>1030906</v>
      </c>
      <c r="H49" s="186"/>
      <c r="I49" s="32"/>
      <c r="J49" s="33">
        <v>1028</v>
      </c>
      <c r="K49" s="189">
        <v>1030906</v>
      </c>
      <c r="L49" s="34">
        <f t="shared" si="0"/>
        <v>0</v>
      </c>
      <c r="N49" s="32"/>
    </row>
    <row r="50" spans="1:14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189">
        <v>1403</v>
      </c>
      <c r="H50" s="186"/>
      <c r="I50" s="32"/>
      <c r="J50" s="33">
        <v>1029</v>
      </c>
      <c r="K50" s="189">
        <v>1403</v>
      </c>
      <c r="L50" s="34">
        <f t="shared" si="0"/>
        <v>0</v>
      </c>
      <c r="N50" s="32"/>
    </row>
    <row r="51" spans="1:14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189">
        <v>3429</v>
      </c>
      <c r="H51" s="186"/>
      <c r="I51" s="32"/>
      <c r="J51" s="33">
        <v>1030</v>
      </c>
      <c r="K51" s="189">
        <v>3429</v>
      </c>
      <c r="L51" s="34">
        <f t="shared" si="0"/>
        <v>0</v>
      </c>
      <c r="N51" s="32"/>
    </row>
    <row r="52" spans="1:14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189">
        <v>84737</v>
      </c>
      <c r="H52" s="186"/>
      <c r="I52" s="32"/>
      <c r="J52" s="33">
        <v>1031</v>
      </c>
      <c r="K52" s="189">
        <v>84737</v>
      </c>
      <c r="L52" s="34">
        <f t="shared" si="0"/>
        <v>0</v>
      </c>
      <c r="N52" s="32"/>
    </row>
    <row r="53" spans="1:14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189">
        <v>4615</v>
      </c>
      <c r="H53" s="186"/>
      <c r="I53" s="32"/>
      <c r="J53" s="33">
        <v>1032</v>
      </c>
      <c r="K53" s="189">
        <v>4615</v>
      </c>
      <c r="L53" s="34">
        <f t="shared" si="0"/>
        <v>0</v>
      </c>
      <c r="N53" s="32"/>
    </row>
    <row r="54" spans="1:14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189">
        <v>1222</v>
      </c>
      <c r="H54" s="186"/>
      <c r="I54" s="32"/>
      <c r="J54" s="33">
        <v>1033</v>
      </c>
      <c r="K54" s="189">
        <v>1222</v>
      </c>
      <c r="L54" s="34">
        <f t="shared" ref="L54:L85" si="1">G54-K54</f>
        <v>0</v>
      </c>
      <c r="N54" s="32"/>
    </row>
    <row r="55" spans="1:14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0</v>
      </c>
      <c r="H55" s="185"/>
      <c r="I55" s="32"/>
      <c r="J55" s="33">
        <v>1034</v>
      </c>
      <c r="K55" s="83">
        <v>0</v>
      </c>
      <c r="L55" s="34">
        <f t="shared" si="1"/>
        <v>0</v>
      </c>
      <c r="N55" s="32"/>
    </row>
    <row r="56" spans="1:14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8325</v>
      </c>
      <c r="H56" s="187"/>
      <c r="I56" s="32"/>
      <c r="J56" s="33">
        <v>1035</v>
      </c>
      <c r="K56" s="190">
        <v>8325</v>
      </c>
      <c r="L56" s="34">
        <f t="shared" si="1"/>
        <v>0</v>
      </c>
      <c r="N56" s="32"/>
    </row>
    <row r="57" spans="1:14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189">
        <v>0</v>
      </c>
      <c r="H57" s="186"/>
      <c r="I57" s="32"/>
      <c r="J57" s="33">
        <v>1036</v>
      </c>
      <c r="K57" s="189">
        <v>0</v>
      </c>
      <c r="L57" s="34">
        <f t="shared" si="1"/>
        <v>0</v>
      </c>
      <c r="N57" s="32"/>
    </row>
    <row r="58" spans="1:14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189">
        <v>0</v>
      </c>
      <c r="H58" s="186"/>
      <c r="I58" s="32"/>
      <c r="J58" s="33">
        <v>1037</v>
      </c>
      <c r="K58" s="189">
        <v>0</v>
      </c>
      <c r="L58" s="34">
        <f t="shared" si="1"/>
        <v>0</v>
      </c>
      <c r="N58" s="32"/>
    </row>
    <row r="59" spans="1:14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189">
        <v>117289</v>
      </c>
      <c r="H59" s="186"/>
      <c r="I59" s="32"/>
      <c r="J59" s="33">
        <v>1038</v>
      </c>
      <c r="K59" s="189">
        <v>117289</v>
      </c>
      <c r="L59" s="34">
        <f t="shared" si="1"/>
        <v>0</v>
      </c>
      <c r="N59" s="32"/>
    </row>
    <row r="60" spans="1:14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189">
        <v>128886</v>
      </c>
      <c r="H60" s="186"/>
      <c r="I60" s="32"/>
      <c r="J60" s="33">
        <v>1039</v>
      </c>
      <c r="K60" s="189">
        <v>128886</v>
      </c>
      <c r="L60" s="34">
        <f t="shared" si="1"/>
        <v>0</v>
      </c>
      <c r="N60" s="32"/>
    </row>
    <row r="61" spans="1:14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189">
        <v>3531</v>
      </c>
      <c r="H61" s="186"/>
      <c r="I61" s="32"/>
      <c r="J61" s="33">
        <v>1040</v>
      </c>
      <c r="K61" s="189">
        <v>3531</v>
      </c>
      <c r="L61" s="34">
        <f t="shared" si="1"/>
        <v>0</v>
      </c>
      <c r="N61" s="32"/>
    </row>
    <row r="62" spans="1:14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189">
        <v>259</v>
      </c>
      <c r="H62" s="186"/>
      <c r="I62" s="32"/>
      <c r="J62" s="33">
        <v>1041</v>
      </c>
      <c r="K62" s="189">
        <v>259</v>
      </c>
      <c r="L62" s="34">
        <f t="shared" si="1"/>
        <v>0</v>
      </c>
      <c r="N62" s="32"/>
    </row>
    <row r="63" spans="1:14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189">
        <v>0</v>
      </c>
      <c r="H63" s="186"/>
      <c r="I63" s="32"/>
      <c r="J63" s="33">
        <v>1042</v>
      </c>
      <c r="K63" s="189">
        <v>0</v>
      </c>
      <c r="L63" s="34">
        <f t="shared" si="1"/>
        <v>0</v>
      </c>
      <c r="N63" s="32"/>
    </row>
    <row r="64" spans="1:14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189">
        <v>0</v>
      </c>
      <c r="H64" s="186"/>
      <c r="I64" s="32"/>
      <c r="J64" s="33">
        <v>1043</v>
      </c>
      <c r="K64" s="189">
        <v>0</v>
      </c>
      <c r="L64" s="34">
        <f t="shared" si="1"/>
        <v>0</v>
      </c>
      <c r="N64" s="32"/>
    </row>
    <row r="65" spans="1:14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3">
        <v>99032</v>
      </c>
      <c r="H65" s="185"/>
      <c r="I65" s="32"/>
      <c r="J65" s="33">
        <v>1044</v>
      </c>
      <c r="K65" s="83">
        <v>99032</v>
      </c>
      <c r="L65" s="34">
        <f t="shared" si="1"/>
        <v>0</v>
      </c>
      <c r="N65" s="32"/>
    </row>
    <row r="66" spans="1:14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3">
        <v>0</v>
      </c>
      <c r="H66" s="185"/>
      <c r="I66" s="32"/>
      <c r="J66" s="33">
        <v>1045</v>
      </c>
      <c r="K66" s="83">
        <v>0</v>
      </c>
      <c r="L66" s="34">
        <f t="shared" si="1"/>
        <v>0</v>
      </c>
      <c r="N66" s="32"/>
    </row>
    <row r="67" spans="1:14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3">
        <v>0</v>
      </c>
      <c r="H67" s="185"/>
      <c r="I67" s="32"/>
      <c r="J67" s="33">
        <v>1046</v>
      </c>
      <c r="K67" s="83">
        <v>0</v>
      </c>
      <c r="L67" s="34">
        <f t="shared" si="1"/>
        <v>0</v>
      </c>
      <c r="N67" s="32"/>
    </row>
    <row r="68" spans="1:14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3">
        <v>123252</v>
      </c>
      <c r="H68" s="185"/>
      <c r="I68" s="32"/>
      <c r="J68" s="33">
        <v>1047</v>
      </c>
      <c r="K68" s="83">
        <v>123252</v>
      </c>
      <c r="L68" s="34">
        <f t="shared" si="1"/>
        <v>0</v>
      </c>
      <c r="N68" s="32"/>
    </row>
    <row r="69" spans="1:14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3">
        <v>0</v>
      </c>
      <c r="H69" s="185"/>
      <c r="I69" s="32"/>
      <c r="J69" s="33">
        <v>1048</v>
      </c>
      <c r="K69" s="83">
        <v>0</v>
      </c>
      <c r="L69" s="34">
        <f t="shared" si="1"/>
        <v>0</v>
      </c>
      <c r="N69" s="32"/>
    </row>
    <row r="70" spans="1:14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106424</v>
      </c>
      <c r="H70" s="184"/>
      <c r="I70" s="32"/>
      <c r="J70" s="33">
        <v>1049</v>
      </c>
      <c r="K70" s="41">
        <v>106424</v>
      </c>
      <c r="L70" s="34">
        <f t="shared" si="1"/>
        <v>0</v>
      </c>
      <c r="N70" s="32"/>
    </row>
    <row r="71" spans="1:14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184"/>
      <c r="I71" s="32"/>
      <c r="J71" s="33">
        <v>1050</v>
      </c>
      <c r="K71" s="41">
        <v>0</v>
      </c>
      <c r="L71" s="34">
        <f t="shared" si="1"/>
        <v>0</v>
      </c>
      <c r="N71" s="32"/>
    </row>
    <row r="72" spans="1:14" ht="25.5">
      <c r="A72" s="26"/>
      <c r="B72" s="27" t="s">
        <v>56</v>
      </c>
      <c r="C72" s="27"/>
      <c r="D72" s="42" t="s">
        <v>301</v>
      </c>
      <c r="E72" s="29"/>
      <c r="F72" s="30"/>
      <c r="G72" s="41"/>
      <c r="H72" s="184"/>
      <c r="I72" s="32"/>
      <c r="J72" s="43"/>
      <c r="K72" s="41"/>
      <c r="L72" s="45">
        <f t="shared" si="1"/>
        <v>0</v>
      </c>
      <c r="N72" s="32"/>
    </row>
    <row r="73" spans="1:14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78995</v>
      </c>
      <c r="H73" s="184"/>
      <c r="I73" s="32"/>
      <c r="J73" s="33">
        <v>1051</v>
      </c>
      <c r="K73" s="41">
        <v>78995</v>
      </c>
      <c r="L73" s="34">
        <f t="shared" si="1"/>
        <v>0</v>
      </c>
      <c r="N73" s="32"/>
    </row>
    <row r="74" spans="1:14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108">
        <v>2298</v>
      </c>
      <c r="H74" s="186"/>
      <c r="I74" s="32"/>
      <c r="J74" s="33">
        <v>1052</v>
      </c>
      <c r="K74" s="108">
        <v>2298</v>
      </c>
      <c r="L74" s="34">
        <f t="shared" si="1"/>
        <v>0</v>
      </c>
      <c r="N74" s="32"/>
    </row>
    <row r="75" spans="1:14" ht="15.75" customHeight="1">
      <c r="A75" s="26"/>
      <c r="B75" s="27"/>
      <c r="C75" s="27"/>
      <c r="D75" s="39" t="s">
        <v>188</v>
      </c>
      <c r="E75" s="29" t="s">
        <v>190</v>
      </c>
      <c r="F75" s="30"/>
      <c r="G75" s="108">
        <f>G76+G77+G78</f>
        <v>11337</v>
      </c>
      <c r="H75" s="186"/>
      <c r="I75" s="32"/>
      <c r="J75" s="33">
        <v>1053</v>
      </c>
      <c r="K75" s="108">
        <v>11337</v>
      </c>
      <c r="L75" s="34">
        <f t="shared" si="1"/>
        <v>0</v>
      </c>
      <c r="N75" s="32"/>
    </row>
    <row r="76" spans="1:14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108">
        <v>6388</v>
      </c>
      <c r="H76" s="186"/>
      <c r="I76" s="32"/>
      <c r="J76" s="33">
        <v>1054</v>
      </c>
      <c r="K76" s="108">
        <v>6388</v>
      </c>
      <c r="L76" s="34">
        <f t="shared" si="1"/>
        <v>0</v>
      </c>
      <c r="N76" s="32"/>
    </row>
    <row r="77" spans="1:14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108">
        <v>4888</v>
      </c>
      <c r="H77" s="186"/>
      <c r="I77" s="32"/>
      <c r="J77" s="33">
        <v>1055</v>
      </c>
      <c r="K77" s="108">
        <v>4888</v>
      </c>
      <c r="L77" s="34">
        <f t="shared" si="1"/>
        <v>0</v>
      </c>
      <c r="N77" s="32"/>
    </row>
    <row r="78" spans="1:14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108">
        <v>61</v>
      </c>
      <c r="H78" s="186"/>
      <c r="I78" s="32"/>
      <c r="J78" s="33">
        <v>1056</v>
      </c>
      <c r="K78" s="108">
        <v>61</v>
      </c>
      <c r="L78" s="34">
        <f t="shared" si="1"/>
        <v>0</v>
      </c>
      <c r="N78" s="32"/>
    </row>
    <row r="79" spans="1:14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108">
        <v>8193</v>
      </c>
      <c r="H79" s="186"/>
      <c r="I79" s="32"/>
      <c r="J79" s="33">
        <v>1057</v>
      </c>
      <c r="K79" s="108">
        <v>8193</v>
      </c>
      <c r="L79" s="34">
        <f t="shared" si="1"/>
        <v>0</v>
      </c>
      <c r="N79" s="32"/>
    </row>
    <row r="80" spans="1:14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108">
        <v>22314</v>
      </c>
      <c r="H80" s="186"/>
      <c r="I80" s="32"/>
      <c r="J80" s="33">
        <v>1058</v>
      </c>
      <c r="K80" s="108">
        <v>22314</v>
      </c>
      <c r="L80" s="34">
        <f t="shared" si="1"/>
        <v>0</v>
      </c>
      <c r="N80" s="32"/>
    </row>
    <row r="81" spans="1:14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108">
        <v>25689</v>
      </c>
      <c r="H81" s="186"/>
      <c r="I81" s="32"/>
      <c r="J81" s="33">
        <v>1059</v>
      </c>
      <c r="K81" s="108">
        <v>25689</v>
      </c>
      <c r="L81" s="34">
        <f t="shared" si="1"/>
        <v>0</v>
      </c>
      <c r="N81" s="32"/>
    </row>
    <row r="82" spans="1:14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108">
        <v>5917</v>
      </c>
      <c r="H82" s="186"/>
      <c r="I82" s="32"/>
      <c r="J82" s="33">
        <v>1060</v>
      </c>
      <c r="K82" s="108">
        <v>5917</v>
      </c>
      <c r="L82" s="34">
        <f t="shared" si="1"/>
        <v>0</v>
      </c>
      <c r="N82" s="32"/>
    </row>
    <row r="83" spans="1:14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108">
        <v>3247</v>
      </c>
      <c r="H83" s="186"/>
      <c r="I83" s="32"/>
      <c r="J83" s="33">
        <v>1061</v>
      </c>
      <c r="K83" s="108">
        <v>3247</v>
      </c>
      <c r="L83" s="34">
        <f t="shared" si="1"/>
        <v>0</v>
      </c>
      <c r="N83" s="32"/>
    </row>
    <row r="84" spans="1:14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33917</v>
      </c>
      <c r="H84" s="184"/>
      <c r="I84" s="32"/>
      <c r="J84" s="33">
        <v>1062</v>
      </c>
      <c r="K84" s="41">
        <v>33918</v>
      </c>
      <c r="L84" s="34">
        <f t="shared" si="1"/>
        <v>-1</v>
      </c>
      <c r="N84" s="32"/>
    </row>
    <row r="85" spans="1:14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189">
        <v>0</v>
      </c>
      <c r="H85" s="186"/>
      <c r="I85" s="32"/>
      <c r="J85" s="70">
        <v>1063</v>
      </c>
      <c r="K85" s="189">
        <v>0</v>
      </c>
      <c r="L85" s="71">
        <f t="shared" si="1"/>
        <v>0</v>
      </c>
      <c r="N85" s="32"/>
    </row>
    <row r="86" spans="1:14" ht="15">
      <c r="A86" s="26"/>
      <c r="B86" s="35"/>
      <c r="C86" s="35"/>
      <c r="D86" s="39" t="s">
        <v>304</v>
      </c>
      <c r="E86" s="29" t="s">
        <v>218</v>
      </c>
      <c r="F86" s="30"/>
      <c r="G86" s="189">
        <v>20280</v>
      </c>
      <c r="H86" s="186"/>
      <c r="I86" s="32"/>
      <c r="J86" s="70">
        <v>1064</v>
      </c>
      <c r="K86" s="189">
        <v>20280</v>
      </c>
      <c r="L86" s="71">
        <f t="shared" ref="L86:L117" si="2">G86-K86</f>
        <v>0</v>
      </c>
      <c r="N86" s="32"/>
    </row>
    <row r="87" spans="1:14" ht="1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189">
        <v>20280</v>
      </c>
      <c r="H87" s="186"/>
      <c r="I87" s="32"/>
      <c r="J87" s="70">
        <v>1065</v>
      </c>
      <c r="K87" s="189">
        <v>20280</v>
      </c>
      <c r="L87" s="71">
        <f t="shared" si="2"/>
        <v>0</v>
      </c>
      <c r="N87" s="32"/>
    </row>
    <row r="88" spans="1:14" ht="1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189">
        <v>0</v>
      </c>
      <c r="H88" s="186"/>
      <c r="I88" s="32"/>
      <c r="J88" s="70">
        <v>1066</v>
      </c>
      <c r="K88" s="189">
        <v>0</v>
      </c>
      <c r="L88" s="71">
        <f t="shared" si="2"/>
        <v>0</v>
      </c>
      <c r="N88" s="32"/>
    </row>
    <row r="89" spans="1:14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189">
        <v>2006</v>
      </c>
      <c r="H89" s="186"/>
      <c r="I89" s="32"/>
      <c r="J89" s="70">
        <v>1067</v>
      </c>
      <c r="K89" s="189">
        <v>2006</v>
      </c>
      <c r="L89" s="71">
        <f t="shared" si="2"/>
        <v>0</v>
      </c>
      <c r="N89" s="32"/>
    </row>
    <row r="90" spans="1:14" ht="1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189">
        <v>9131</v>
      </c>
      <c r="H90" s="186"/>
      <c r="I90" s="32"/>
      <c r="J90" s="70">
        <v>1068</v>
      </c>
      <c r="K90" s="189">
        <v>9131</v>
      </c>
      <c r="L90" s="71">
        <f t="shared" si="2"/>
        <v>0</v>
      </c>
      <c r="N90" s="32"/>
    </row>
    <row r="91" spans="1:14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189">
        <v>2500</v>
      </c>
      <c r="H91" s="186"/>
      <c r="I91" s="32"/>
      <c r="J91" s="70">
        <v>1069</v>
      </c>
      <c r="K91" s="189">
        <v>2500</v>
      </c>
      <c r="L91" s="71">
        <f t="shared" si="2"/>
        <v>0</v>
      </c>
      <c r="N91" s="32"/>
    </row>
    <row r="92" spans="1:14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189">
        <v>0</v>
      </c>
      <c r="H92" s="186"/>
      <c r="I92" s="32"/>
      <c r="J92" s="70">
        <v>1070</v>
      </c>
      <c r="K92" s="189">
        <v>0</v>
      </c>
      <c r="L92" s="71">
        <f t="shared" si="2"/>
        <v>0</v>
      </c>
      <c r="N92" s="32"/>
    </row>
    <row r="93" spans="1:14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45078</v>
      </c>
      <c r="H93" s="184"/>
      <c r="I93" s="32"/>
      <c r="J93" s="33">
        <v>1071</v>
      </c>
      <c r="K93" s="41">
        <v>45078</v>
      </c>
      <c r="L93" s="34">
        <f t="shared" si="2"/>
        <v>0</v>
      </c>
      <c r="N93" s="32"/>
    </row>
    <row r="94" spans="1:14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184"/>
      <c r="I94" s="32"/>
      <c r="J94" s="33">
        <v>1072</v>
      </c>
      <c r="K94" s="41">
        <v>0</v>
      </c>
      <c r="L94" s="34">
        <f t="shared" si="2"/>
        <v>0</v>
      </c>
      <c r="N94" s="32"/>
    </row>
    <row r="95" spans="1:14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490445</v>
      </c>
      <c r="H95" s="184"/>
      <c r="I95" s="32"/>
      <c r="J95" s="33">
        <v>1073</v>
      </c>
      <c r="K95" s="41">
        <v>490446</v>
      </c>
      <c r="L95" s="34">
        <f t="shared" si="2"/>
        <v>-1</v>
      </c>
      <c r="N95" s="32"/>
    </row>
    <row r="96" spans="1:14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345202</v>
      </c>
      <c r="H96" s="185"/>
      <c r="I96" s="32"/>
      <c r="J96" s="33">
        <v>1074</v>
      </c>
      <c r="K96" s="83">
        <v>345202</v>
      </c>
      <c r="L96" s="34">
        <f t="shared" si="2"/>
        <v>0</v>
      </c>
      <c r="N96" s="32"/>
    </row>
    <row r="97" spans="1:14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34589+375</f>
        <v>34964</v>
      </c>
      <c r="H97" s="186"/>
      <c r="I97" s="32"/>
      <c r="J97" s="33">
        <v>1075</v>
      </c>
      <c r="K97" s="189">
        <v>34589</v>
      </c>
      <c r="L97" s="34">
        <f t="shared" si="2"/>
        <v>375</v>
      </c>
      <c r="N97" s="32"/>
    </row>
    <row r="98" spans="1:14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310613-30606</f>
        <v>280007</v>
      </c>
      <c r="H98" s="186"/>
      <c r="I98" s="32"/>
      <c r="J98" s="33">
        <v>1076</v>
      </c>
      <c r="K98" s="189">
        <v>310613</v>
      </c>
      <c r="L98" s="34">
        <f t="shared" si="2"/>
        <v>-30606</v>
      </c>
      <c r="N98" s="32"/>
    </row>
    <row r="99" spans="1:14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v>0</v>
      </c>
      <c r="H99" s="186"/>
      <c r="I99" s="32"/>
      <c r="J99" s="33">
        <v>1077</v>
      </c>
      <c r="K99" s="189">
        <v>0</v>
      </c>
      <c r="L99" s="34">
        <f t="shared" si="2"/>
        <v>0</v>
      </c>
      <c r="N99" s="32"/>
    </row>
    <row r="100" spans="1:14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v>30231</v>
      </c>
      <c r="H100" s="186"/>
      <c r="I100" s="32"/>
      <c r="J100" s="33">
        <v>1078</v>
      </c>
      <c r="K100" s="189">
        <v>0</v>
      </c>
      <c r="L100" s="34">
        <f t="shared" si="2"/>
        <v>30231</v>
      </c>
      <c r="N100" s="32"/>
    </row>
    <row r="101" spans="1:14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135725</v>
      </c>
      <c r="H101" s="185"/>
      <c r="I101" s="32"/>
      <c r="J101" s="33">
        <v>1079</v>
      </c>
      <c r="K101" s="83">
        <v>135725</v>
      </c>
      <c r="L101" s="34">
        <f t="shared" si="2"/>
        <v>0</v>
      </c>
      <c r="N101" s="32"/>
    </row>
    <row r="102" spans="1:14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189">
        <v>32917</v>
      </c>
      <c r="H102" s="186"/>
      <c r="I102" s="32"/>
      <c r="J102" s="33">
        <v>1080</v>
      </c>
      <c r="K102" s="189">
        <v>32917</v>
      </c>
      <c r="L102" s="34">
        <f t="shared" si="2"/>
        <v>0</v>
      </c>
      <c r="N102" s="32"/>
    </row>
    <row r="103" spans="1:14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189">
        <v>30612</v>
      </c>
      <c r="H103" s="186"/>
      <c r="I103" s="32"/>
      <c r="J103" s="33">
        <v>1081</v>
      </c>
      <c r="K103" s="189">
        <v>30612</v>
      </c>
      <c r="L103" s="34">
        <f t="shared" si="2"/>
        <v>0</v>
      </c>
      <c r="N103" s="32"/>
    </row>
    <row r="104" spans="1:14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189">
        <v>62577</v>
      </c>
      <c r="H104" s="186"/>
      <c r="I104" s="32"/>
      <c r="J104" s="33">
        <v>1082</v>
      </c>
      <c r="K104" s="189">
        <v>62577</v>
      </c>
      <c r="L104" s="34">
        <f t="shared" si="2"/>
        <v>0</v>
      </c>
      <c r="N104" s="32"/>
    </row>
    <row r="105" spans="1:14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189">
        <v>9619</v>
      </c>
      <c r="H105" s="186"/>
      <c r="I105" s="32"/>
      <c r="J105" s="33">
        <v>1083</v>
      </c>
      <c r="K105" s="189">
        <v>9619</v>
      </c>
      <c r="L105" s="34">
        <f t="shared" si="2"/>
        <v>0</v>
      </c>
      <c r="N105" s="32"/>
    </row>
    <row r="106" spans="1:14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3">
        <v>9518</v>
      </c>
      <c r="H106" s="185"/>
      <c r="I106" s="32"/>
      <c r="J106" s="33">
        <v>1084</v>
      </c>
      <c r="K106" s="83">
        <v>9518</v>
      </c>
      <c r="L106" s="34">
        <f t="shared" si="2"/>
        <v>0</v>
      </c>
      <c r="N106" s="32"/>
    </row>
    <row r="107" spans="1:14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3">
        <v>0</v>
      </c>
      <c r="H107" s="185"/>
      <c r="I107" s="32"/>
      <c r="J107" s="33">
        <v>1085</v>
      </c>
      <c r="K107" s="83">
        <v>0</v>
      </c>
      <c r="L107" s="34">
        <f t="shared" si="2"/>
        <v>0</v>
      </c>
      <c r="N107" s="32"/>
    </row>
    <row r="108" spans="1:14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0</v>
      </c>
      <c r="H108" s="188"/>
      <c r="I108" s="32"/>
      <c r="J108" s="33">
        <v>1086</v>
      </c>
      <c r="K108" s="191">
        <v>0</v>
      </c>
      <c r="L108" s="34">
        <f t="shared" si="2"/>
        <v>0</v>
      </c>
      <c r="N108" s="32"/>
    </row>
    <row r="109" spans="1:14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338943</v>
      </c>
      <c r="H109" s="188"/>
      <c r="I109" s="32"/>
      <c r="J109" s="33">
        <v>1087</v>
      </c>
      <c r="K109" s="191">
        <v>338944</v>
      </c>
      <c r="L109" s="34">
        <f t="shared" si="2"/>
        <v>-1</v>
      </c>
      <c r="N109" s="32"/>
    </row>
    <row r="110" spans="1:14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3">
        <v>13834</v>
      </c>
      <c r="H110" s="185"/>
      <c r="I110" s="32"/>
      <c r="J110" s="33">
        <v>1088</v>
      </c>
      <c r="K110" s="83">
        <v>13834</v>
      </c>
      <c r="L110" s="34">
        <f t="shared" si="2"/>
        <v>0</v>
      </c>
      <c r="N110" s="32"/>
    </row>
    <row r="111" spans="1:14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3">
        <v>3872</v>
      </c>
      <c r="H111" s="185"/>
      <c r="I111" s="32"/>
      <c r="J111" s="33">
        <v>1089</v>
      </c>
      <c r="K111" s="83">
        <v>3872</v>
      </c>
      <c r="L111" s="34">
        <f t="shared" si="2"/>
        <v>0</v>
      </c>
      <c r="N111" s="32"/>
    </row>
    <row r="112" spans="1:14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3">
        <v>62072</v>
      </c>
      <c r="H112" s="185"/>
      <c r="I112" s="32"/>
      <c r="J112" s="33">
        <v>1090</v>
      </c>
      <c r="K112" s="83">
        <v>62072</v>
      </c>
      <c r="L112" s="34">
        <f t="shared" si="2"/>
        <v>0</v>
      </c>
      <c r="N112" s="32"/>
    </row>
    <row r="113" spans="1:14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3">
        <v>128154</v>
      </c>
      <c r="H113" s="185"/>
      <c r="I113" s="32"/>
      <c r="J113" s="33">
        <v>1091</v>
      </c>
      <c r="K113" s="83">
        <v>128154</v>
      </c>
      <c r="L113" s="34">
        <f t="shared" si="2"/>
        <v>0</v>
      </c>
      <c r="N113" s="32"/>
    </row>
    <row r="114" spans="1:14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3">
        <f>8112-2</f>
        <v>8110</v>
      </c>
      <c r="H114" s="185"/>
      <c r="I114" s="32"/>
      <c r="J114" s="33">
        <v>1092</v>
      </c>
      <c r="K114" s="83">
        <v>8112</v>
      </c>
      <c r="L114" s="34">
        <f t="shared" si="2"/>
        <v>-2</v>
      </c>
      <c r="N114" s="32"/>
    </row>
    <row r="115" spans="1:14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3">
        <v>20373</v>
      </c>
      <c r="H115" s="185"/>
      <c r="I115" s="32"/>
      <c r="J115" s="33">
        <v>1093</v>
      </c>
      <c r="K115" s="83">
        <v>20373</v>
      </c>
      <c r="L115" s="34">
        <f t="shared" si="2"/>
        <v>0</v>
      </c>
      <c r="N115" s="32"/>
    </row>
    <row r="116" spans="1:14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0</v>
      </c>
      <c r="H116" s="188"/>
      <c r="I116" s="32"/>
      <c r="J116" s="33">
        <v>1094</v>
      </c>
      <c r="K116" s="191">
        <v>0</v>
      </c>
      <c r="L116" s="34">
        <f t="shared" si="2"/>
        <v>0</v>
      </c>
      <c r="N116" s="32"/>
    </row>
    <row r="117" spans="1:14" ht="25.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407326</v>
      </c>
      <c r="H117" s="184"/>
      <c r="I117" s="32"/>
      <c r="J117" s="33">
        <v>1095</v>
      </c>
      <c r="K117" s="41">
        <v>407326</v>
      </c>
      <c r="L117" s="34">
        <f t="shared" si="2"/>
        <v>0</v>
      </c>
      <c r="N117" s="32"/>
    </row>
    <row r="118" spans="1:14" ht="38.25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3">
        <v>0</v>
      </c>
      <c r="H118" s="185"/>
      <c r="I118" s="32"/>
      <c r="J118" s="33">
        <v>1096</v>
      </c>
      <c r="K118" s="83">
        <v>0</v>
      </c>
      <c r="L118" s="34">
        <f t="shared" ref="L118:L134" si="3">G118-K118</f>
        <v>0</v>
      </c>
      <c r="N118" s="32"/>
    </row>
    <row r="119" spans="1:14" ht="38.25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3">
        <v>193</v>
      </c>
      <c r="H119" s="185"/>
      <c r="I119" s="32"/>
      <c r="J119" s="33">
        <v>1097</v>
      </c>
      <c r="K119" s="83">
        <v>193</v>
      </c>
      <c r="L119" s="34">
        <f t="shared" si="3"/>
        <v>0</v>
      </c>
      <c r="N119" s="32"/>
    </row>
    <row r="120" spans="1:14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3">
        <v>0</v>
      </c>
      <c r="H120" s="185"/>
      <c r="I120" s="32"/>
      <c r="J120" s="33">
        <v>1098</v>
      </c>
      <c r="K120" s="83">
        <v>0</v>
      </c>
      <c r="L120" s="34">
        <f t="shared" si="3"/>
        <v>0</v>
      </c>
      <c r="N120" s="32"/>
    </row>
    <row r="121" spans="1:14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3">
        <f>IF((G116+G118-G117-G119)&lt;0,-(G116+G118-G117-G119),0)</f>
        <v>407519</v>
      </c>
      <c r="H121" s="185"/>
      <c r="I121" s="32"/>
      <c r="J121" s="33">
        <v>1099</v>
      </c>
      <c r="K121" s="83">
        <v>407519</v>
      </c>
      <c r="L121" s="34">
        <f t="shared" si="3"/>
        <v>0</v>
      </c>
      <c r="N121" s="32"/>
    </row>
    <row r="122" spans="1:14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189"/>
      <c r="H122" s="186"/>
      <c r="I122" s="32"/>
      <c r="J122" s="43"/>
      <c r="K122" s="189"/>
      <c r="L122" s="45">
        <f t="shared" si="3"/>
        <v>0</v>
      </c>
      <c r="N122" s="32"/>
    </row>
    <row r="123" spans="1:14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189">
        <v>0</v>
      </c>
      <c r="H123" s="186"/>
      <c r="I123" s="32"/>
      <c r="J123" s="33">
        <v>1100</v>
      </c>
      <c r="K123" s="189">
        <v>0</v>
      </c>
      <c r="L123" s="34">
        <f t="shared" si="3"/>
        <v>0</v>
      </c>
      <c r="N123" s="32"/>
    </row>
    <row r="124" spans="1:14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189">
        <v>0</v>
      </c>
      <c r="H124" s="186"/>
      <c r="I124" s="32"/>
      <c r="J124" s="33">
        <v>1101</v>
      </c>
      <c r="K124" s="189">
        <v>0</v>
      </c>
      <c r="L124" s="34">
        <f t="shared" si="3"/>
        <v>0</v>
      </c>
      <c r="N124" s="32"/>
    </row>
    <row r="125" spans="1:14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189">
        <v>0</v>
      </c>
      <c r="H125" s="186"/>
      <c r="I125" s="32"/>
      <c r="J125" s="33">
        <v>1102</v>
      </c>
      <c r="K125" s="189">
        <v>0</v>
      </c>
      <c r="L125" s="34">
        <f t="shared" si="3"/>
        <v>0</v>
      </c>
      <c r="N125" s="32"/>
    </row>
    <row r="126" spans="1:14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191" t="s">
        <v>330</v>
      </c>
      <c r="H126" s="188"/>
      <c r="I126" s="32"/>
      <c r="J126" s="33">
        <v>1103</v>
      </c>
      <c r="K126" s="191">
        <v>0</v>
      </c>
      <c r="L126" s="34">
        <f t="shared" si="3"/>
        <v>0</v>
      </c>
      <c r="N126" s="32"/>
    </row>
    <row r="127" spans="1:14">
      <c r="A127" s="29"/>
      <c r="B127" s="27"/>
      <c r="C127" s="27"/>
      <c r="D127" s="53" t="s">
        <v>272</v>
      </c>
      <c r="E127" s="29" t="s">
        <v>284</v>
      </c>
      <c r="F127" s="30"/>
      <c r="G127" s="41"/>
      <c r="H127" s="184"/>
      <c r="I127" s="32"/>
      <c r="J127" s="33">
        <v>1104</v>
      </c>
      <c r="K127" s="41">
        <v>0</v>
      </c>
      <c r="L127" s="34">
        <f t="shared" si="3"/>
        <v>0</v>
      </c>
      <c r="N127" s="32"/>
    </row>
    <row r="128" spans="1:14">
      <c r="A128" s="29"/>
      <c r="B128" s="27"/>
      <c r="C128" s="27"/>
      <c r="D128" s="53" t="s">
        <v>273</v>
      </c>
      <c r="E128" s="29" t="s">
        <v>285</v>
      </c>
      <c r="F128" s="30"/>
      <c r="G128" s="41"/>
      <c r="H128" s="184"/>
      <c r="I128" s="32"/>
      <c r="J128" s="33">
        <v>1105</v>
      </c>
      <c r="K128" s="41">
        <v>0</v>
      </c>
      <c r="L128" s="34">
        <f t="shared" si="3"/>
        <v>0</v>
      </c>
      <c r="N128" s="32"/>
    </row>
    <row r="129" spans="1:15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>
        <f>IF((G120-G121-G123+G124-G125)&lt;0,-(G120-G121-G123+G124-G125),"0")</f>
        <v>407519</v>
      </c>
      <c r="H129" s="188"/>
      <c r="I129" s="32"/>
      <c r="J129" s="33">
        <v>1106</v>
      </c>
      <c r="K129" s="191">
        <v>407519</v>
      </c>
      <c r="L129" s="34">
        <f t="shared" si="3"/>
        <v>0</v>
      </c>
      <c r="N129" s="32"/>
      <c r="O129" s="188">
        <v>522024</v>
      </c>
    </row>
    <row r="130" spans="1:15">
      <c r="A130" s="29"/>
      <c r="B130" s="27"/>
      <c r="C130" s="27"/>
      <c r="D130" s="39" t="s">
        <v>274</v>
      </c>
      <c r="E130" s="29" t="s">
        <v>287</v>
      </c>
      <c r="F130" s="30"/>
      <c r="G130" s="189">
        <v>0</v>
      </c>
      <c r="H130" s="186"/>
      <c r="I130" s="32"/>
      <c r="J130" s="33">
        <v>1107</v>
      </c>
      <c r="K130" s="189">
        <v>0</v>
      </c>
      <c r="L130" s="34">
        <f t="shared" si="3"/>
        <v>0</v>
      </c>
      <c r="N130" s="32"/>
      <c r="O130" s="188">
        <v>407519</v>
      </c>
    </row>
    <row r="131" spans="1:15">
      <c r="A131" s="29"/>
      <c r="B131" s="27"/>
      <c r="C131" s="27"/>
      <c r="D131" s="39" t="s">
        <v>275</v>
      </c>
      <c r="E131" s="29" t="s">
        <v>288</v>
      </c>
      <c r="F131" s="30"/>
      <c r="G131" s="189">
        <v>0</v>
      </c>
      <c r="H131" s="186"/>
      <c r="I131" s="32"/>
      <c r="J131" s="33">
        <v>1108</v>
      </c>
      <c r="K131" s="189">
        <v>0</v>
      </c>
      <c r="L131" s="34">
        <f t="shared" si="3"/>
        <v>0</v>
      </c>
      <c r="N131" s="32"/>
    </row>
    <row r="132" spans="1:15">
      <c r="A132" s="29"/>
      <c r="B132" s="27" t="s">
        <v>93</v>
      </c>
      <c r="C132" s="27"/>
      <c r="D132" s="28" t="s">
        <v>94</v>
      </c>
      <c r="E132" s="29"/>
      <c r="F132" s="30"/>
      <c r="G132" s="189">
        <v>0</v>
      </c>
      <c r="H132" s="186"/>
      <c r="I132" s="32"/>
      <c r="J132" s="33">
        <v>1109</v>
      </c>
      <c r="K132" s="189">
        <v>0</v>
      </c>
      <c r="L132" s="34">
        <f t="shared" si="3"/>
        <v>0</v>
      </c>
      <c r="N132" s="32"/>
    </row>
    <row r="133" spans="1:15">
      <c r="A133" s="29"/>
      <c r="B133" s="27"/>
      <c r="C133" s="27"/>
      <c r="D133" s="39" t="s">
        <v>276</v>
      </c>
      <c r="E133" s="29" t="s">
        <v>289</v>
      </c>
      <c r="F133" s="30"/>
      <c r="G133" s="189">
        <v>0</v>
      </c>
      <c r="H133" s="186"/>
      <c r="I133" s="32"/>
      <c r="J133" s="33">
        <v>1110</v>
      </c>
      <c r="K133" s="189">
        <v>0</v>
      </c>
      <c r="L133" s="34">
        <f t="shared" si="3"/>
        <v>0</v>
      </c>
      <c r="N133" s="32"/>
    </row>
    <row r="134" spans="1:15" ht="25.5">
      <c r="A134" s="29"/>
      <c r="B134" s="27"/>
      <c r="C134" s="27"/>
      <c r="D134" s="39" t="s">
        <v>277</v>
      </c>
      <c r="E134" s="29" t="s">
        <v>290</v>
      </c>
      <c r="F134" s="30"/>
      <c r="G134" s="189">
        <v>0</v>
      </c>
      <c r="H134" s="186"/>
      <c r="I134" s="32"/>
      <c r="J134" s="33">
        <v>1111</v>
      </c>
      <c r="K134" s="189">
        <v>0</v>
      </c>
      <c r="L134" s="34">
        <f t="shared" si="3"/>
        <v>0</v>
      </c>
      <c r="N134" s="32"/>
    </row>
    <row r="135" spans="1:15" ht="13.5" customHeight="1">
      <c r="H135" s="232"/>
      <c r="J135" s="33"/>
      <c r="K135" s="57"/>
      <c r="N135" s="32"/>
    </row>
    <row r="136" spans="1:15">
      <c r="N136" s="32"/>
    </row>
    <row r="137" spans="1:15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N137" s="32"/>
    </row>
    <row r="138" spans="1:15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N138" s="32"/>
    </row>
    <row r="139" spans="1:15">
      <c r="A139" s="1"/>
      <c r="B139" s="2"/>
      <c r="C139" s="58"/>
      <c r="D139" s="59"/>
      <c r="E139" s="60"/>
      <c r="F139" s="60"/>
      <c r="G139" s="276"/>
      <c r="H139" s="233"/>
      <c r="N139" s="32"/>
    </row>
    <row r="140" spans="1:15">
      <c r="A140" s="62"/>
      <c r="B140" s="63"/>
      <c r="C140" s="64"/>
      <c r="D140" s="64"/>
      <c r="E140" s="64"/>
      <c r="F140" s="64"/>
      <c r="G140" s="277"/>
      <c r="H140" s="234"/>
      <c r="N140" s="32"/>
    </row>
    <row r="141" spans="1:15">
      <c r="A141" s="1"/>
      <c r="B141" s="2"/>
      <c r="C141" s="58"/>
      <c r="D141" s="59"/>
      <c r="E141" s="60"/>
      <c r="F141" s="60"/>
      <c r="G141" s="278"/>
      <c r="H141" s="235"/>
      <c r="N141" s="32"/>
    </row>
    <row r="142" spans="1:15">
      <c r="A142" s="1"/>
      <c r="B142" s="2"/>
      <c r="C142" s="58"/>
      <c r="D142" s="59"/>
      <c r="E142" s="60"/>
      <c r="F142" s="60"/>
      <c r="G142" s="276"/>
      <c r="H142" s="233"/>
      <c r="N142" s="32"/>
    </row>
    <row r="143" spans="1:15">
      <c r="A143" s="1"/>
      <c r="B143" s="2"/>
      <c r="C143" s="58"/>
      <c r="D143" s="59"/>
      <c r="E143" s="60"/>
      <c r="F143" s="60"/>
      <c r="G143" s="276"/>
      <c r="H143" s="233"/>
      <c r="N143" s="32"/>
    </row>
    <row r="144" spans="1:15">
      <c r="A144" s="1"/>
      <c r="B144" s="2"/>
      <c r="C144" s="58"/>
      <c r="D144" s="59"/>
      <c r="E144" s="60"/>
      <c r="F144" s="60"/>
      <c r="G144" s="276"/>
      <c r="H144" s="233"/>
      <c r="N144" s="32"/>
    </row>
    <row r="145" spans="1:14">
      <c r="A145" s="1"/>
      <c r="B145" s="2"/>
      <c r="C145" s="58"/>
      <c r="D145" s="59"/>
      <c r="E145" s="60"/>
      <c r="F145" s="60"/>
      <c r="G145" s="276"/>
      <c r="H145" s="233"/>
      <c r="N145" s="32"/>
    </row>
    <row r="146" spans="1:14">
      <c r="A146" s="1"/>
      <c r="B146" s="2"/>
      <c r="C146" s="58"/>
      <c r="D146" s="59"/>
      <c r="E146" s="60"/>
      <c r="F146" s="60"/>
      <c r="G146" s="276"/>
      <c r="H146" s="233"/>
      <c r="N146" s="32"/>
    </row>
    <row r="147" spans="1:14">
      <c r="A147" s="1"/>
      <c r="B147" s="2"/>
      <c r="C147" s="58"/>
      <c r="D147" s="59"/>
      <c r="E147" s="60"/>
      <c r="F147" s="60"/>
      <c r="G147" s="276"/>
      <c r="H147" s="233"/>
      <c r="N147" s="32"/>
    </row>
    <row r="148" spans="1:14">
      <c r="A148" s="1"/>
      <c r="B148" s="2"/>
      <c r="C148" s="58"/>
      <c r="D148" s="59"/>
      <c r="E148" s="60"/>
      <c r="F148" s="60"/>
      <c r="G148" s="279"/>
      <c r="H148" s="233"/>
      <c r="N148" s="32"/>
    </row>
    <row r="149" spans="1:14">
      <c r="A149" s="1"/>
      <c r="B149" s="2"/>
      <c r="C149" s="58"/>
      <c r="D149" s="59"/>
      <c r="E149" s="60"/>
      <c r="F149" s="60"/>
      <c r="G149" s="276"/>
      <c r="H149" s="233"/>
      <c r="N149" s="32"/>
    </row>
    <row r="150" spans="1:14">
      <c r="A150" s="1"/>
      <c r="B150" s="2"/>
      <c r="C150" s="58"/>
      <c r="D150" s="59"/>
      <c r="E150" s="60"/>
      <c r="F150" s="60"/>
      <c r="G150" s="276"/>
      <c r="H150" s="233"/>
      <c r="N150" s="32"/>
    </row>
    <row r="151" spans="1:14">
      <c r="A151" s="1"/>
      <c r="B151" s="2"/>
      <c r="C151" s="58"/>
      <c r="D151" s="59"/>
      <c r="E151" s="60"/>
      <c r="F151" s="60"/>
      <c r="G151" s="276"/>
      <c r="H151" s="233"/>
      <c r="N151" s="32"/>
    </row>
    <row r="152" spans="1:14">
      <c r="A152" s="1"/>
      <c r="B152" s="2"/>
      <c r="C152" s="58"/>
      <c r="D152" s="59"/>
      <c r="E152" s="60"/>
      <c r="F152" s="60"/>
      <c r="G152" s="276"/>
      <c r="H152" s="233"/>
      <c r="N152" s="32"/>
    </row>
    <row r="153" spans="1:14">
      <c r="A153" s="1"/>
      <c r="B153" s="2"/>
      <c r="C153" s="58"/>
      <c r="D153" s="59"/>
      <c r="E153" s="60"/>
      <c r="F153" s="60"/>
      <c r="G153" s="276"/>
      <c r="H153" s="233"/>
      <c r="N153" s="32"/>
    </row>
    <row r="154" spans="1:14">
      <c r="A154" s="1"/>
      <c r="B154" s="2"/>
      <c r="C154" s="58"/>
      <c r="D154" s="59"/>
      <c r="E154" s="60"/>
      <c r="F154" s="60"/>
      <c r="G154" s="276"/>
      <c r="H154" s="233"/>
      <c r="N154" s="32"/>
    </row>
    <row r="155" spans="1:14">
      <c r="A155" s="1"/>
      <c r="B155" s="2"/>
      <c r="C155" s="58"/>
      <c r="D155" s="59"/>
      <c r="E155" s="60"/>
      <c r="F155" s="60"/>
      <c r="G155" s="276"/>
      <c r="H155" s="233"/>
      <c r="N155" s="32"/>
    </row>
    <row r="156" spans="1:14">
      <c r="A156" s="1"/>
      <c r="B156" s="2"/>
      <c r="C156" s="58"/>
      <c r="D156" s="59"/>
      <c r="E156" s="60"/>
      <c r="F156" s="60"/>
      <c r="G156" s="276"/>
      <c r="H156" s="233"/>
      <c r="N156" s="32"/>
    </row>
    <row r="157" spans="1:14">
      <c r="A157" s="1"/>
      <c r="B157" s="2"/>
      <c r="C157" s="58"/>
      <c r="D157" s="59"/>
      <c r="E157" s="60"/>
      <c r="F157" s="60"/>
      <c r="G157" s="276"/>
      <c r="H157" s="233"/>
      <c r="N157" s="32"/>
    </row>
    <row r="158" spans="1:14">
      <c r="A158" s="1"/>
      <c r="B158" s="2"/>
      <c r="C158" s="58"/>
      <c r="D158" s="59"/>
      <c r="E158" s="60"/>
      <c r="F158" s="60"/>
      <c r="G158" s="276"/>
      <c r="H158" s="233"/>
      <c r="N158" s="32"/>
    </row>
    <row r="159" spans="1:14">
      <c r="A159" s="1"/>
      <c r="B159" s="2"/>
      <c r="C159" s="58"/>
      <c r="D159" s="59"/>
      <c r="E159" s="60"/>
      <c r="F159" s="60"/>
      <c r="G159" s="276"/>
      <c r="H159" s="233"/>
      <c r="N159" s="32"/>
    </row>
    <row r="160" spans="1:14">
      <c r="A160" s="1"/>
      <c r="B160" s="2"/>
      <c r="C160" s="58"/>
      <c r="D160" s="59"/>
      <c r="E160" s="60"/>
      <c r="F160" s="60"/>
      <c r="G160" s="276"/>
      <c r="H160" s="233"/>
      <c r="N160" s="32"/>
    </row>
    <row r="161" spans="1:14">
      <c r="A161" s="1"/>
      <c r="B161" s="2"/>
      <c r="C161" s="58"/>
      <c r="D161" s="59"/>
      <c r="E161" s="60"/>
      <c r="F161" s="60"/>
      <c r="G161" s="276"/>
      <c r="H161" s="233"/>
      <c r="N161" s="32"/>
    </row>
    <row r="162" spans="1:14">
      <c r="A162" s="1"/>
      <c r="B162" s="2"/>
      <c r="C162" s="58"/>
      <c r="D162" s="59"/>
      <c r="E162" s="60"/>
      <c r="F162" s="60"/>
      <c r="G162" s="276"/>
      <c r="H162" s="233"/>
      <c r="N162" s="32"/>
    </row>
    <row r="163" spans="1:14">
      <c r="A163" s="1"/>
      <c r="B163" s="2"/>
      <c r="C163" s="58"/>
      <c r="D163" s="59"/>
      <c r="E163" s="60"/>
      <c r="F163" s="60"/>
      <c r="G163" s="276"/>
      <c r="H163" s="233"/>
      <c r="N163" s="32"/>
    </row>
    <row r="164" spans="1:14">
      <c r="A164" s="1"/>
      <c r="B164" s="2"/>
      <c r="C164" s="58"/>
      <c r="D164" s="59"/>
      <c r="E164" s="60"/>
      <c r="F164" s="60"/>
      <c r="G164" s="276"/>
      <c r="H164" s="233"/>
      <c r="N164" s="32"/>
    </row>
    <row r="165" spans="1:14">
      <c r="A165" s="1"/>
      <c r="B165" s="2"/>
      <c r="C165" s="58"/>
      <c r="D165" s="59"/>
      <c r="E165" s="60"/>
      <c r="F165" s="60"/>
      <c r="G165" s="276"/>
      <c r="H165" s="233"/>
      <c r="N165" s="32"/>
    </row>
    <row r="166" spans="1:14">
      <c r="A166" s="1"/>
      <c r="B166" s="2"/>
      <c r="C166" s="3"/>
      <c r="D166" s="68"/>
      <c r="E166" s="4"/>
      <c r="F166" s="4"/>
      <c r="N166" s="32"/>
    </row>
    <row r="167" spans="1:14">
      <c r="A167" s="1"/>
      <c r="B167" s="2"/>
      <c r="C167" s="3"/>
      <c r="D167" s="68"/>
      <c r="E167" s="4"/>
      <c r="F167" s="4"/>
      <c r="N167" s="32"/>
    </row>
    <row r="168" spans="1:14">
      <c r="A168" s="1"/>
      <c r="B168" s="2"/>
      <c r="C168" s="3"/>
      <c r="D168" s="68"/>
      <c r="E168" s="4"/>
      <c r="F168" s="4"/>
      <c r="N168" s="32"/>
    </row>
    <row r="169" spans="1:14">
      <c r="A169" s="1"/>
      <c r="B169" s="2"/>
      <c r="C169" s="3"/>
      <c r="D169" s="68"/>
      <c r="E169" s="4"/>
      <c r="F169" s="4"/>
      <c r="N169" s="32"/>
    </row>
    <row r="170" spans="1:14">
      <c r="A170" s="1"/>
      <c r="B170" s="2"/>
      <c r="C170" s="3"/>
      <c r="D170" s="68"/>
      <c r="E170" s="4"/>
      <c r="F170" s="4"/>
      <c r="N170" s="32"/>
    </row>
    <row r="171" spans="1:14">
      <c r="A171" s="1"/>
      <c r="B171" s="2"/>
      <c r="C171" s="3"/>
      <c r="D171" s="68"/>
      <c r="E171" s="4"/>
      <c r="F171" s="4"/>
      <c r="N171" s="32"/>
    </row>
    <row r="172" spans="1:14">
      <c r="A172" s="1"/>
      <c r="B172" s="2"/>
      <c r="C172" s="3"/>
      <c r="D172" s="68"/>
      <c r="E172" s="4"/>
      <c r="F172" s="4"/>
      <c r="N172" s="32"/>
    </row>
    <row r="173" spans="1:14">
      <c r="A173" s="1"/>
      <c r="B173" s="2"/>
      <c r="C173" s="3"/>
      <c r="D173" s="68"/>
      <c r="E173" s="4"/>
      <c r="F173" s="4"/>
      <c r="N173" s="32"/>
    </row>
    <row r="174" spans="1:14">
      <c r="A174" s="1"/>
      <c r="B174" s="2"/>
      <c r="C174" s="3"/>
      <c r="D174" s="68"/>
      <c r="E174" s="4"/>
      <c r="F174" s="4"/>
      <c r="N174" s="32"/>
    </row>
    <row r="175" spans="1:14">
      <c r="A175" s="1"/>
      <c r="B175" s="2"/>
      <c r="C175" s="3"/>
      <c r="D175" s="68"/>
      <c r="E175" s="4"/>
      <c r="F175" s="4"/>
      <c r="N175" s="32"/>
    </row>
    <row r="176" spans="1:14">
      <c r="A176" s="1"/>
      <c r="B176" s="2"/>
      <c r="C176" s="3"/>
      <c r="D176" s="68"/>
      <c r="E176" s="4"/>
      <c r="F176" s="4"/>
      <c r="N176" s="32"/>
    </row>
    <row r="177" spans="1:14">
      <c r="A177" s="1"/>
      <c r="B177" s="2"/>
      <c r="C177" s="3"/>
      <c r="D177" s="68"/>
      <c r="E177" s="4"/>
      <c r="F177" s="4"/>
      <c r="N177" s="32"/>
    </row>
    <row r="178" spans="1:14">
      <c r="A178" s="1"/>
      <c r="B178" s="2"/>
      <c r="C178" s="3"/>
      <c r="D178" s="68"/>
      <c r="E178" s="4"/>
      <c r="F178" s="4"/>
      <c r="N178" s="32"/>
    </row>
    <row r="179" spans="1:14">
      <c r="A179" s="1"/>
      <c r="B179" s="2"/>
      <c r="C179" s="3"/>
      <c r="D179" s="68"/>
      <c r="E179" s="4"/>
      <c r="F179" s="4"/>
      <c r="N179" s="32"/>
    </row>
    <row r="180" spans="1:14">
      <c r="A180" s="1"/>
      <c r="B180" s="2"/>
      <c r="C180" s="3"/>
      <c r="D180" s="68"/>
      <c r="E180" s="4"/>
      <c r="F180" s="4"/>
      <c r="N180" s="32"/>
    </row>
    <row r="181" spans="1:14">
      <c r="A181" s="1"/>
      <c r="B181" s="2"/>
      <c r="C181" s="3"/>
      <c r="D181" s="68"/>
      <c r="E181" s="4"/>
      <c r="F181" s="4"/>
      <c r="N181" s="32"/>
    </row>
    <row r="182" spans="1:14">
      <c r="A182" s="1"/>
      <c r="B182" s="2"/>
      <c r="C182" s="3"/>
      <c r="D182" s="68"/>
      <c r="E182" s="4"/>
      <c r="F182" s="4"/>
      <c r="N182" s="32"/>
    </row>
    <row r="183" spans="1:14">
      <c r="A183" s="1"/>
      <c r="B183" s="2"/>
      <c r="C183" s="3"/>
      <c r="D183" s="68"/>
      <c r="E183" s="4"/>
      <c r="F183" s="4"/>
      <c r="N183" s="32"/>
    </row>
    <row r="184" spans="1:14">
      <c r="A184" s="1"/>
      <c r="B184" s="2"/>
      <c r="C184" s="3"/>
      <c r="D184" s="68"/>
      <c r="E184" s="4"/>
      <c r="F184" s="4"/>
      <c r="N184" s="32"/>
    </row>
    <row r="185" spans="1:14">
      <c r="A185" s="1"/>
      <c r="B185" s="2"/>
      <c r="C185" s="3"/>
      <c r="D185" s="68"/>
      <c r="E185" s="4"/>
      <c r="F185" s="4"/>
      <c r="N185" s="32"/>
    </row>
    <row r="186" spans="1:14">
      <c r="A186" s="1"/>
      <c r="B186" s="2"/>
      <c r="C186" s="3"/>
      <c r="D186" s="68"/>
      <c r="E186" s="4"/>
      <c r="F186" s="4"/>
      <c r="N186" s="32"/>
    </row>
    <row r="187" spans="1:14">
      <c r="A187" s="1"/>
      <c r="B187" s="2"/>
      <c r="C187" s="3"/>
      <c r="D187" s="68"/>
      <c r="E187" s="4"/>
      <c r="F187" s="4"/>
      <c r="N187" s="32"/>
    </row>
    <row r="188" spans="1:14">
      <c r="A188" s="1"/>
      <c r="B188" s="2"/>
      <c r="C188" s="3"/>
      <c r="D188" s="68"/>
      <c r="E188" s="4"/>
      <c r="F188" s="4"/>
    </row>
    <row r="189" spans="1:14">
      <c r="A189" s="1"/>
      <c r="B189" s="2"/>
      <c r="C189" s="3"/>
      <c r="D189" s="68"/>
      <c r="E189" s="4"/>
      <c r="F189" s="4"/>
    </row>
    <row r="190" spans="1:14">
      <c r="A190" s="1"/>
      <c r="B190" s="2"/>
      <c r="C190" s="3"/>
      <c r="D190" s="68"/>
      <c r="E190" s="4"/>
      <c r="F190" s="4"/>
    </row>
    <row r="191" spans="1:14">
      <c r="A191" s="1"/>
      <c r="B191" s="2"/>
      <c r="C191" s="3"/>
      <c r="D191" s="68"/>
      <c r="E191" s="4"/>
      <c r="F191" s="4"/>
    </row>
    <row r="192" spans="1:14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  <mergeCell ref="G17:H17"/>
    <mergeCell ref="B20:D20"/>
    <mergeCell ref="A137:C137"/>
    <mergeCell ref="D137:F137"/>
    <mergeCell ref="G137:H137"/>
    <mergeCell ref="A138:C138"/>
    <mergeCell ref="D138:F138"/>
    <mergeCell ref="G138:H138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171450</xdr:rowOff>
              </to>
            </anchor>
          </objectPr>
        </oleObject>
      </mc:Choice>
      <mc:Fallback>
        <oleObject progId="Word.Document.8" shapeId="1433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27"/>
  <sheetViews>
    <sheetView topLeftCell="D11" workbookViewId="0">
      <selection activeCell="H22" sqref="H22:H134"/>
    </sheetView>
  </sheetViews>
  <sheetFormatPr defaultRowHeight="15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226" customWidth="1"/>
    <col min="9" max="9" width="9.140625" style="5"/>
    <col min="10" max="10" width="13.140625" style="5" hidden="1" customWidth="1"/>
    <col min="11" max="11" width="9.140625" style="5" hidden="1" customWidth="1"/>
    <col min="12" max="12" width="9.28515625" style="6" hidden="1" customWidth="1"/>
    <col min="13" max="13" width="9.140625" style="5"/>
    <col min="14" max="14" width="10.5703125" style="5" customWidth="1"/>
    <col min="15" max="15" width="11.7109375" style="5" customWidth="1"/>
    <col min="16" max="16384" width="9.140625" style="5"/>
  </cols>
  <sheetData>
    <row r="1" spans="1:12" ht="16.5" customHeight="1">
      <c r="A1" s="1"/>
      <c r="B1" s="2"/>
      <c r="C1" s="3"/>
      <c r="D1" s="4"/>
      <c r="E1" s="4"/>
      <c r="F1" s="4"/>
    </row>
    <row r="2" spans="1:12">
      <c r="A2" s="319"/>
      <c r="B2" s="319"/>
      <c r="C2" s="319"/>
      <c r="D2" s="319"/>
      <c r="E2" s="4"/>
      <c r="F2" s="4"/>
    </row>
    <row r="3" spans="1:12" ht="13.5" customHeight="1">
      <c r="A3" s="319"/>
      <c r="B3" s="319"/>
      <c r="C3" s="319"/>
      <c r="D3" s="319"/>
      <c r="E3" s="4"/>
      <c r="F3" s="4"/>
    </row>
    <row r="4" spans="1:12" ht="15" customHeight="1">
      <c r="A4" s="319"/>
      <c r="B4" s="319"/>
      <c r="C4" s="319"/>
      <c r="D4" s="319"/>
      <c r="E4" s="4"/>
      <c r="F4" s="4"/>
    </row>
    <row r="5" spans="1:12" ht="16.5" customHeight="1">
      <c r="A5" s="319"/>
      <c r="B5" s="319"/>
      <c r="C5" s="319"/>
      <c r="D5" s="319"/>
      <c r="E5" s="4"/>
      <c r="F5" s="4"/>
    </row>
    <row r="6" spans="1:12">
      <c r="A6" s="319"/>
      <c r="B6" s="319"/>
      <c r="C6" s="319"/>
      <c r="D6" s="319"/>
      <c r="E6" s="4"/>
      <c r="F6" s="4"/>
    </row>
    <row r="7" spans="1:12" ht="13.5" customHeight="1">
      <c r="A7" s="1"/>
      <c r="B7" s="2"/>
      <c r="C7" s="3"/>
      <c r="D7" s="4"/>
      <c r="E7" s="4"/>
      <c r="F7" s="4"/>
    </row>
    <row r="8" spans="1:12" ht="13.5" customHeight="1">
      <c r="A8" s="1"/>
      <c r="B8" s="2"/>
      <c r="C8" s="3"/>
      <c r="D8" s="4"/>
      <c r="E8" s="4"/>
      <c r="F8" s="4"/>
    </row>
    <row r="9" spans="1:12" ht="13.5" customHeight="1">
      <c r="A9" s="1"/>
      <c r="B9" s="2"/>
      <c r="C9" s="3"/>
      <c r="D9" s="4"/>
      <c r="E9" s="4"/>
      <c r="F9" s="4"/>
    </row>
    <row r="10" spans="1:12">
      <c r="A10" s="1"/>
      <c r="B10" s="2"/>
      <c r="C10" s="3"/>
      <c r="D10" s="4"/>
      <c r="E10" s="4"/>
      <c r="F10" s="4"/>
    </row>
    <row r="11" spans="1:12" s="7" customFormat="1" ht="13.5" customHeight="1">
      <c r="A11" s="318"/>
      <c r="B11" s="318"/>
      <c r="C11" s="318"/>
      <c r="D11" s="318"/>
      <c r="E11" s="318"/>
      <c r="F11" s="318"/>
      <c r="G11" s="318"/>
      <c r="H11" s="227"/>
      <c r="L11" s="8"/>
    </row>
    <row r="12" spans="1:12" s="7" customFormat="1" ht="13.5" customHeight="1">
      <c r="A12" s="318"/>
      <c r="B12" s="318"/>
      <c r="C12" s="318"/>
      <c r="D12" s="318"/>
      <c r="E12" s="4"/>
      <c r="F12" s="4"/>
      <c r="H12" s="227"/>
      <c r="L12" s="8"/>
    </row>
    <row r="13" spans="1:12" s="7" customFormat="1" ht="24" customHeight="1">
      <c r="A13" s="1"/>
      <c r="B13" s="2"/>
      <c r="C13" s="3"/>
      <c r="D13" s="4"/>
      <c r="E13" s="4"/>
      <c r="F13" s="4"/>
      <c r="H13" s="228"/>
      <c r="L13" s="8"/>
    </row>
    <row r="14" spans="1:12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L14" s="8"/>
    </row>
    <row r="15" spans="1:12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L15" s="8"/>
    </row>
    <row r="16" spans="1:12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L16" s="8"/>
    </row>
    <row r="17" spans="1:15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L17" s="8"/>
    </row>
    <row r="18" spans="1:15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L18" s="8"/>
    </row>
    <row r="19" spans="1:15" s="7" customFormat="1" ht="37.5" customHeight="1">
      <c r="A19" s="336"/>
      <c r="B19" s="336"/>
      <c r="C19" s="336"/>
      <c r="D19" s="336"/>
      <c r="E19" s="337"/>
      <c r="F19" s="338"/>
      <c r="G19" s="10" t="s">
        <v>4</v>
      </c>
      <c r="H19" s="229" t="s">
        <v>5</v>
      </c>
      <c r="L19" s="8"/>
    </row>
    <row r="20" spans="1:15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15">
        <v>5</v>
      </c>
      <c r="H20" s="230">
        <v>6</v>
      </c>
      <c r="L20" s="8"/>
    </row>
    <row r="21" spans="1:15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75"/>
      <c r="H21" s="231"/>
      <c r="L21" s="25"/>
    </row>
    <row r="22" spans="1:15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41">
        <f>G23+G30+G35+G36</f>
        <v>253580</v>
      </c>
      <c r="H22" s="184"/>
      <c r="I22" s="32"/>
      <c r="J22" s="33">
        <v>1001</v>
      </c>
      <c r="K22">
        <v>253581</v>
      </c>
      <c r="L22" s="34">
        <f t="shared" ref="L22:L85" si="0">G22-K22</f>
        <v>-1</v>
      </c>
      <c r="N22" s="32"/>
    </row>
    <row r="23" spans="1:15" ht="25.5" customHeight="1">
      <c r="A23" s="29"/>
      <c r="B23" s="35"/>
      <c r="C23" s="35"/>
      <c r="D23" s="28" t="s">
        <v>292</v>
      </c>
      <c r="E23" s="29" t="s">
        <v>107</v>
      </c>
      <c r="F23" s="36"/>
      <c r="G23" s="83">
        <f>G24+G25-G26-G27-G28+G29</f>
        <v>252748</v>
      </c>
      <c r="H23" s="185"/>
      <c r="I23" s="32"/>
      <c r="J23" s="33">
        <v>1002</v>
      </c>
      <c r="K23">
        <v>252748</v>
      </c>
      <c r="L23" s="34">
        <f t="shared" si="0"/>
        <v>0</v>
      </c>
      <c r="N23" s="32"/>
      <c r="O23" s="38"/>
    </row>
    <row r="24" spans="1:15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189">
        <v>0</v>
      </c>
      <c r="H24" s="186"/>
      <c r="I24" s="32"/>
      <c r="J24" s="33">
        <v>1003</v>
      </c>
      <c r="K24">
        <v>0</v>
      </c>
      <c r="L24" s="34">
        <f t="shared" si="0"/>
        <v>0</v>
      </c>
      <c r="N24" s="32"/>
    </row>
    <row r="25" spans="1:15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189">
        <v>329852</v>
      </c>
      <c r="H25" s="186"/>
      <c r="I25" s="32"/>
      <c r="J25" s="33">
        <v>1004</v>
      </c>
      <c r="K25">
        <v>329852</v>
      </c>
      <c r="L25" s="34">
        <f t="shared" si="0"/>
        <v>0</v>
      </c>
      <c r="N25" s="32"/>
    </row>
    <row r="26" spans="1:15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189">
        <v>19590</v>
      </c>
      <c r="H26" s="186"/>
      <c r="I26" s="32"/>
      <c r="J26" s="33">
        <v>1005</v>
      </c>
      <c r="K26">
        <v>19590</v>
      </c>
      <c r="L26" s="34">
        <f t="shared" si="0"/>
        <v>0</v>
      </c>
      <c r="N26" s="32"/>
      <c r="O26" s="38"/>
    </row>
    <row r="27" spans="1:15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189">
        <v>56684</v>
      </c>
      <c r="H27" s="186"/>
      <c r="I27" s="32"/>
      <c r="J27" s="33">
        <v>1006</v>
      </c>
      <c r="K27">
        <v>56684</v>
      </c>
      <c r="L27" s="34">
        <f t="shared" si="0"/>
        <v>0</v>
      </c>
      <c r="N27" s="32"/>
    </row>
    <row r="28" spans="1:15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189">
        <v>830</v>
      </c>
      <c r="H28" s="186"/>
      <c r="I28" s="32"/>
      <c r="J28" s="33">
        <v>1007</v>
      </c>
      <c r="K28">
        <v>830</v>
      </c>
      <c r="L28" s="34">
        <f t="shared" si="0"/>
        <v>0</v>
      </c>
      <c r="N28" s="32"/>
    </row>
    <row r="29" spans="1:15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189">
        <v>0</v>
      </c>
      <c r="H29" s="186"/>
      <c r="I29" s="32"/>
      <c r="J29" s="33">
        <v>1008</v>
      </c>
      <c r="K29">
        <v>0</v>
      </c>
      <c r="L29" s="34">
        <f t="shared" si="0"/>
        <v>0</v>
      </c>
      <c r="N29" s="32"/>
    </row>
    <row r="30" spans="1:15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f>G31-G32-G33+G34</f>
        <v>0</v>
      </c>
      <c r="H30" s="185"/>
      <c r="I30" s="32"/>
      <c r="J30" s="33">
        <v>1009</v>
      </c>
      <c r="K30">
        <v>0</v>
      </c>
      <c r="L30" s="34">
        <f t="shared" si="0"/>
        <v>0</v>
      </c>
      <c r="N30" s="32"/>
    </row>
    <row r="31" spans="1:15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189">
        <v>0</v>
      </c>
      <c r="H31" s="186"/>
      <c r="I31" s="32"/>
      <c r="J31" s="33">
        <v>1010</v>
      </c>
      <c r="K31">
        <v>0</v>
      </c>
      <c r="L31" s="34">
        <f t="shared" si="0"/>
        <v>0</v>
      </c>
      <c r="N31" s="32"/>
    </row>
    <row r="32" spans="1:15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189">
        <v>0</v>
      </c>
      <c r="H32" s="186"/>
      <c r="I32" s="32"/>
      <c r="J32" s="33">
        <v>1011</v>
      </c>
      <c r="K32">
        <v>0</v>
      </c>
      <c r="L32" s="34">
        <f t="shared" si="0"/>
        <v>0</v>
      </c>
      <c r="N32" s="32"/>
    </row>
    <row r="33" spans="1:14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189">
        <v>0</v>
      </c>
      <c r="H33" s="186"/>
      <c r="I33" s="32"/>
      <c r="J33" s="33">
        <v>1012</v>
      </c>
      <c r="K33">
        <v>0</v>
      </c>
      <c r="L33" s="34">
        <f t="shared" si="0"/>
        <v>0</v>
      </c>
      <c r="N33" s="32"/>
    </row>
    <row r="34" spans="1:14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189">
        <v>0</v>
      </c>
      <c r="H34" s="186"/>
      <c r="I34" s="32"/>
      <c r="J34" s="33">
        <v>1013</v>
      </c>
      <c r="K34">
        <v>0</v>
      </c>
      <c r="L34" s="34">
        <f t="shared" si="0"/>
        <v>0</v>
      </c>
      <c r="N34" s="32"/>
    </row>
    <row r="35" spans="1:14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3">
        <v>499</v>
      </c>
      <c r="H35" s="185"/>
      <c r="I35" s="32"/>
      <c r="J35" s="33">
        <v>1014</v>
      </c>
      <c r="K35">
        <v>499</v>
      </c>
      <c r="L35" s="34">
        <f t="shared" si="0"/>
        <v>0</v>
      </c>
      <c r="N35" s="32"/>
    </row>
    <row r="36" spans="1:14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3">
        <v>333</v>
      </c>
      <c r="H36" s="185"/>
      <c r="I36" s="32"/>
      <c r="J36" s="33">
        <v>1015</v>
      </c>
      <c r="K36">
        <v>333</v>
      </c>
      <c r="L36" s="34">
        <f t="shared" si="0"/>
        <v>0</v>
      </c>
      <c r="N36" s="32"/>
    </row>
    <row r="37" spans="1:14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41">
        <f>G38+G47+G55-G56-G65+G66-G67+G68+G69</f>
        <v>63731</v>
      </c>
      <c r="H37" s="184"/>
      <c r="I37" s="32"/>
      <c r="J37" s="33">
        <v>1016</v>
      </c>
      <c r="K37">
        <v>63730</v>
      </c>
      <c r="L37" s="34">
        <f t="shared" si="0"/>
        <v>1</v>
      </c>
      <c r="N37" s="32"/>
    </row>
    <row r="38" spans="1:14" ht="32.25" customHeight="1">
      <c r="A38" s="29"/>
      <c r="B38" s="35"/>
      <c r="C38" s="35"/>
      <c r="D38" s="28" t="s">
        <v>295</v>
      </c>
      <c r="E38" s="29" t="s">
        <v>128</v>
      </c>
      <c r="F38" s="36"/>
      <c r="G38" s="83">
        <f>G39+G40+G41+G42+G43+G44+G45+G46</f>
        <v>23641</v>
      </c>
      <c r="H38" s="185"/>
      <c r="I38" s="32"/>
      <c r="J38" s="33">
        <v>1017</v>
      </c>
      <c r="K38">
        <v>23641</v>
      </c>
      <c r="L38" s="34">
        <f t="shared" si="0"/>
        <v>0</v>
      </c>
      <c r="N38" s="32"/>
    </row>
    <row r="39" spans="1:14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189">
        <v>0</v>
      </c>
      <c r="H39" s="186"/>
      <c r="I39" s="32"/>
      <c r="J39" s="33">
        <v>1018</v>
      </c>
      <c r="K39">
        <v>0</v>
      </c>
      <c r="L39" s="34">
        <f t="shared" si="0"/>
        <v>0</v>
      </c>
      <c r="N39" s="32"/>
    </row>
    <row r="40" spans="1:14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189">
        <v>0</v>
      </c>
      <c r="H40" s="186"/>
      <c r="I40" s="32"/>
      <c r="J40" s="33">
        <v>1019</v>
      </c>
      <c r="K40">
        <v>0</v>
      </c>
      <c r="L40" s="34">
        <f t="shared" si="0"/>
        <v>0</v>
      </c>
      <c r="N40" s="32"/>
    </row>
    <row r="41" spans="1:14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189">
        <v>6582</v>
      </c>
      <c r="H41" s="186"/>
      <c r="I41" s="32"/>
      <c r="J41" s="33">
        <v>1020</v>
      </c>
      <c r="K41">
        <v>6582</v>
      </c>
      <c r="L41" s="34">
        <f t="shared" si="0"/>
        <v>0</v>
      </c>
      <c r="N41" s="32"/>
    </row>
    <row r="42" spans="1:14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189">
        <v>7</v>
      </c>
      <c r="H42" s="186"/>
      <c r="I42" s="32"/>
      <c r="J42" s="33">
        <v>1021</v>
      </c>
      <c r="K42">
        <v>7</v>
      </c>
      <c r="L42" s="34">
        <f t="shared" si="0"/>
        <v>0</v>
      </c>
      <c r="N42" s="32"/>
    </row>
    <row r="43" spans="1:14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189">
        <v>0</v>
      </c>
      <c r="H43" s="186"/>
      <c r="I43" s="32"/>
      <c r="J43" s="33">
        <v>1022</v>
      </c>
      <c r="K43">
        <v>0</v>
      </c>
      <c r="L43" s="34">
        <f t="shared" si="0"/>
        <v>0</v>
      </c>
      <c r="N43" s="32"/>
    </row>
    <row r="44" spans="1:14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189">
        <v>0</v>
      </c>
      <c r="H44" s="186"/>
      <c r="I44" s="32"/>
      <c r="J44" s="33">
        <v>1023</v>
      </c>
      <c r="K44">
        <v>0</v>
      </c>
      <c r="L44" s="34">
        <f t="shared" si="0"/>
        <v>0</v>
      </c>
      <c r="N44" s="32"/>
    </row>
    <row r="45" spans="1:14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189">
        <v>17052</v>
      </c>
      <c r="H45" s="186"/>
      <c r="I45" s="32"/>
      <c r="J45" s="33">
        <v>1024</v>
      </c>
      <c r="K45">
        <v>17052</v>
      </c>
      <c r="L45" s="34">
        <f t="shared" si="0"/>
        <v>0</v>
      </c>
      <c r="N45" s="32"/>
    </row>
    <row r="46" spans="1:14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189">
        <v>0</v>
      </c>
      <c r="H46" s="186"/>
      <c r="I46" s="32"/>
      <c r="J46" s="33">
        <v>1025</v>
      </c>
      <c r="K46">
        <v>0</v>
      </c>
      <c r="L46" s="34">
        <f t="shared" si="0"/>
        <v>0</v>
      </c>
      <c r="N46" s="32"/>
    </row>
    <row r="47" spans="1:14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65981</v>
      </c>
      <c r="H47" s="185"/>
      <c r="I47" s="32"/>
      <c r="J47" s="33">
        <v>1026</v>
      </c>
      <c r="K47">
        <v>65981</v>
      </c>
      <c r="L47" s="34">
        <f t="shared" si="0"/>
        <v>0</v>
      </c>
      <c r="N47" s="32"/>
    </row>
    <row r="48" spans="1:14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189">
        <v>0</v>
      </c>
      <c r="H48" s="186"/>
      <c r="I48" s="32"/>
      <c r="J48" s="33">
        <v>1027</v>
      </c>
      <c r="K48">
        <v>0</v>
      </c>
      <c r="L48" s="34">
        <f t="shared" si="0"/>
        <v>0</v>
      </c>
      <c r="N48" s="32"/>
    </row>
    <row r="49" spans="1:14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189">
        <v>68827</v>
      </c>
      <c r="H49" s="186"/>
      <c r="I49" s="32"/>
      <c r="J49" s="33">
        <v>1028</v>
      </c>
      <c r="K49">
        <v>68827</v>
      </c>
      <c r="L49" s="34">
        <f t="shared" si="0"/>
        <v>0</v>
      </c>
      <c r="N49" s="32"/>
    </row>
    <row r="50" spans="1:14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189">
        <v>0</v>
      </c>
      <c r="H50" s="186"/>
      <c r="I50" s="32"/>
      <c r="J50" s="33">
        <v>1029</v>
      </c>
      <c r="K50">
        <v>0</v>
      </c>
      <c r="L50" s="34">
        <f t="shared" si="0"/>
        <v>0</v>
      </c>
      <c r="N50" s="32"/>
    </row>
    <row r="51" spans="1:14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189">
        <v>0</v>
      </c>
      <c r="H51" s="186"/>
      <c r="I51" s="32"/>
      <c r="J51" s="33">
        <v>1030</v>
      </c>
      <c r="K51">
        <v>0</v>
      </c>
      <c r="L51" s="34">
        <f t="shared" si="0"/>
        <v>0</v>
      </c>
      <c r="N51" s="32"/>
    </row>
    <row r="52" spans="1:14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189">
        <v>5135</v>
      </c>
      <c r="H52" s="186"/>
      <c r="I52" s="32"/>
      <c r="J52" s="33">
        <v>1031</v>
      </c>
      <c r="K52">
        <v>5135</v>
      </c>
      <c r="L52" s="34">
        <f t="shared" si="0"/>
        <v>0</v>
      </c>
      <c r="N52" s="32"/>
    </row>
    <row r="53" spans="1:14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189">
        <v>6459</v>
      </c>
      <c r="H53" s="186"/>
      <c r="I53" s="32"/>
      <c r="J53" s="33">
        <v>1032</v>
      </c>
      <c r="K53">
        <v>6459</v>
      </c>
      <c r="L53" s="34">
        <f t="shared" si="0"/>
        <v>0</v>
      </c>
      <c r="N53" s="32"/>
    </row>
    <row r="54" spans="1:14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189">
        <v>1522</v>
      </c>
      <c r="H54" s="186"/>
      <c r="I54" s="32"/>
      <c r="J54" s="33">
        <v>1033</v>
      </c>
      <c r="K54">
        <v>1522</v>
      </c>
      <c r="L54" s="34">
        <f t="shared" si="0"/>
        <v>0</v>
      </c>
      <c r="N54" s="32"/>
    </row>
    <row r="55" spans="1:14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6037</v>
      </c>
      <c r="H55" s="185"/>
      <c r="I55" s="32"/>
      <c r="J55" s="33">
        <v>1034</v>
      </c>
      <c r="K55">
        <v>6037</v>
      </c>
      <c r="L55" s="34">
        <f t="shared" si="0"/>
        <v>0</v>
      </c>
      <c r="N55" s="32"/>
    </row>
    <row r="56" spans="1:14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0</v>
      </c>
      <c r="H56" s="187"/>
      <c r="I56" s="32"/>
      <c r="J56" s="33">
        <v>1035</v>
      </c>
      <c r="K56">
        <v>0</v>
      </c>
      <c r="L56" s="34">
        <f t="shared" si="0"/>
        <v>0</v>
      </c>
      <c r="N56" s="32"/>
    </row>
    <row r="57" spans="1:14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189">
        <v>0</v>
      </c>
      <c r="H57" s="186"/>
      <c r="I57" s="32"/>
      <c r="J57" s="33">
        <v>1036</v>
      </c>
      <c r="K57">
        <v>0</v>
      </c>
      <c r="L57" s="34">
        <f t="shared" si="0"/>
        <v>0</v>
      </c>
      <c r="N57" s="32"/>
    </row>
    <row r="58" spans="1:14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189">
        <v>0</v>
      </c>
      <c r="H58" s="186"/>
      <c r="I58" s="32"/>
      <c r="J58" s="33">
        <v>1037</v>
      </c>
      <c r="K58">
        <v>0</v>
      </c>
      <c r="L58" s="34">
        <f t="shared" si="0"/>
        <v>0</v>
      </c>
      <c r="N58" s="32"/>
    </row>
    <row r="59" spans="1:14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189">
        <v>32127</v>
      </c>
      <c r="H59" s="186"/>
      <c r="I59" s="32"/>
      <c r="J59" s="33">
        <v>1038</v>
      </c>
      <c r="K59">
        <v>32127</v>
      </c>
      <c r="L59" s="34">
        <f t="shared" si="0"/>
        <v>0</v>
      </c>
      <c r="N59" s="32"/>
    </row>
    <row r="60" spans="1:14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189">
        <v>26090</v>
      </c>
      <c r="H60" s="186"/>
      <c r="I60" s="32"/>
      <c r="J60" s="33">
        <v>1039</v>
      </c>
      <c r="K60">
        <v>26090</v>
      </c>
      <c r="L60" s="34">
        <f t="shared" si="0"/>
        <v>0</v>
      </c>
      <c r="N60" s="32"/>
    </row>
    <row r="61" spans="1:14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189">
        <v>0</v>
      </c>
      <c r="H61" s="186"/>
      <c r="I61" s="32"/>
      <c r="J61" s="33">
        <v>1040</v>
      </c>
      <c r="K61">
        <v>0</v>
      </c>
      <c r="L61" s="34">
        <f t="shared" si="0"/>
        <v>0</v>
      </c>
      <c r="N61" s="32"/>
    </row>
    <row r="62" spans="1:14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189">
        <v>0</v>
      </c>
      <c r="H62" s="186"/>
      <c r="I62" s="32"/>
      <c r="J62" s="33">
        <v>1041</v>
      </c>
      <c r="K62">
        <v>0</v>
      </c>
      <c r="L62" s="34">
        <f t="shared" si="0"/>
        <v>0</v>
      </c>
      <c r="N62" s="32"/>
    </row>
    <row r="63" spans="1:14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189">
        <v>0</v>
      </c>
      <c r="H63" s="186"/>
      <c r="I63" s="32"/>
      <c r="J63" s="33">
        <v>1042</v>
      </c>
      <c r="K63">
        <v>0</v>
      </c>
      <c r="L63" s="34">
        <f t="shared" si="0"/>
        <v>0</v>
      </c>
      <c r="N63" s="32"/>
    </row>
    <row r="64" spans="1:14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189">
        <v>0</v>
      </c>
      <c r="H64" s="186"/>
      <c r="I64" s="32"/>
      <c r="J64" s="33">
        <v>1043</v>
      </c>
      <c r="K64">
        <v>0</v>
      </c>
      <c r="L64" s="34">
        <f t="shared" si="0"/>
        <v>0</v>
      </c>
      <c r="N64" s="32"/>
    </row>
    <row r="65" spans="1:14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3">
        <v>4129</v>
      </c>
      <c r="H65" s="185"/>
      <c r="I65" s="32"/>
      <c r="J65" s="33">
        <v>1044</v>
      </c>
      <c r="K65">
        <v>4129</v>
      </c>
      <c r="L65" s="34">
        <f t="shared" si="0"/>
        <v>0</v>
      </c>
      <c r="N65" s="32"/>
    </row>
    <row r="66" spans="1:14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3">
        <v>0</v>
      </c>
      <c r="H66" s="185"/>
      <c r="I66" s="32"/>
      <c r="J66" s="33">
        <v>1045</v>
      </c>
      <c r="K66">
        <v>0</v>
      </c>
      <c r="L66" s="34">
        <f t="shared" si="0"/>
        <v>0</v>
      </c>
      <c r="N66" s="32"/>
    </row>
    <row r="67" spans="1:14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3">
        <v>57178</v>
      </c>
      <c r="H67" s="185"/>
      <c r="I67" s="32"/>
      <c r="J67" s="33">
        <v>1046</v>
      </c>
      <c r="K67">
        <v>57178</v>
      </c>
      <c r="L67" s="34">
        <f t="shared" si="0"/>
        <v>0</v>
      </c>
      <c r="N67" s="32"/>
    </row>
    <row r="68" spans="1:14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3">
        <v>29379</v>
      </c>
      <c r="H68" s="185"/>
      <c r="I68" s="32"/>
      <c r="J68" s="33">
        <v>1047</v>
      </c>
      <c r="K68">
        <v>29379</v>
      </c>
      <c r="L68" s="34">
        <f t="shared" si="0"/>
        <v>0</v>
      </c>
      <c r="N68" s="32"/>
    </row>
    <row r="69" spans="1:14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3">
        <v>0</v>
      </c>
      <c r="H69" s="185"/>
      <c r="I69" s="32"/>
      <c r="J69" s="33">
        <v>1048</v>
      </c>
      <c r="K69">
        <v>0</v>
      </c>
      <c r="L69" s="34">
        <f t="shared" si="0"/>
        <v>0</v>
      </c>
      <c r="N69" s="32"/>
    </row>
    <row r="70" spans="1:14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189849</v>
      </c>
      <c r="H70" s="184"/>
      <c r="I70" s="32"/>
      <c r="J70" s="33">
        <v>1049</v>
      </c>
      <c r="K70">
        <v>189850</v>
      </c>
      <c r="L70" s="34">
        <f t="shared" si="0"/>
        <v>-1</v>
      </c>
      <c r="N70" s="32"/>
    </row>
    <row r="71" spans="1:14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184"/>
      <c r="I71" s="32"/>
      <c r="J71" s="33">
        <v>1050</v>
      </c>
      <c r="K71">
        <v>0</v>
      </c>
      <c r="L71" s="34">
        <f t="shared" si="0"/>
        <v>0</v>
      </c>
      <c r="N71" s="32"/>
    </row>
    <row r="72" spans="1:14" ht="25.5">
      <c r="A72" s="26"/>
      <c r="B72" s="27" t="s">
        <v>56</v>
      </c>
      <c r="C72" s="27"/>
      <c r="D72" s="42" t="s">
        <v>301</v>
      </c>
      <c r="E72" s="29"/>
      <c r="F72" s="30"/>
      <c r="G72" s="41"/>
      <c r="H72" s="184"/>
      <c r="I72" s="32"/>
      <c r="J72" s="43"/>
      <c r="K72" s="44"/>
      <c r="L72" s="45">
        <f t="shared" si="0"/>
        <v>0</v>
      </c>
      <c r="N72" s="32"/>
    </row>
    <row r="73" spans="1:14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17724</v>
      </c>
      <c r="H73" s="184"/>
      <c r="I73" s="32"/>
      <c r="J73" s="33">
        <v>1051</v>
      </c>
      <c r="K73">
        <v>17726</v>
      </c>
      <c r="L73" s="34">
        <f t="shared" si="0"/>
        <v>-2</v>
      </c>
      <c r="N73" s="32"/>
    </row>
    <row r="74" spans="1:14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189">
        <v>547</v>
      </c>
      <c r="H74" s="186"/>
      <c r="I74" s="32"/>
      <c r="J74" s="33">
        <v>1052</v>
      </c>
      <c r="K74">
        <v>547</v>
      </c>
      <c r="L74" s="34">
        <f t="shared" si="0"/>
        <v>0</v>
      </c>
      <c r="N74" s="32"/>
    </row>
    <row r="75" spans="1:14" ht="15.75" customHeight="1">
      <c r="A75" s="26"/>
      <c r="B75" s="27"/>
      <c r="C75" s="27"/>
      <c r="D75" s="39" t="s">
        <v>188</v>
      </c>
      <c r="E75" s="29" t="s">
        <v>190</v>
      </c>
      <c r="F75" s="30"/>
      <c r="G75" s="189">
        <v>2685</v>
      </c>
      <c r="H75" s="186"/>
      <c r="I75" s="32"/>
      <c r="J75" s="33">
        <v>1053</v>
      </c>
      <c r="K75">
        <v>2685</v>
      </c>
      <c r="L75" s="34">
        <f t="shared" si="0"/>
        <v>0</v>
      </c>
      <c r="N75" s="32"/>
    </row>
    <row r="76" spans="1:14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189">
        <v>1480</v>
      </c>
      <c r="H76" s="186"/>
      <c r="I76" s="32"/>
      <c r="J76" s="33">
        <v>1054</v>
      </c>
      <c r="K76">
        <v>1480</v>
      </c>
      <c r="L76" s="34">
        <f t="shared" si="0"/>
        <v>0</v>
      </c>
      <c r="N76" s="32"/>
    </row>
    <row r="77" spans="1:14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189">
        <v>1198</v>
      </c>
      <c r="H77" s="186"/>
      <c r="I77" s="32"/>
      <c r="J77" s="33">
        <v>1055</v>
      </c>
      <c r="K77">
        <v>1198</v>
      </c>
      <c r="L77" s="34">
        <f t="shared" si="0"/>
        <v>0</v>
      </c>
      <c r="N77" s="32"/>
    </row>
    <row r="78" spans="1:14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189">
        <v>7</v>
      </c>
      <c r="H78" s="186"/>
      <c r="I78" s="32"/>
      <c r="J78" s="33">
        <v>1056</v>
      </c>
      <c r="K78">
        <v>7</v>
      </c>
      <c r="L78" s="34">
        <f t="shared" si="0"/>
        <v>0</v>
      </c>
      <c r="N78" s="32"/>
    </row>
    <row r="79" spans="1:14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189">
        <v>1955</v>
      </c>
      <c r="H79" s="186"/>
      <c r="I79" s="32"/>
      <c r="J79" s="33">
        <v>1057</v>
      </c>
      <c r="K79">
        <v>1955</v>
      </c>
      <c r="L79" s="34">
        <f t="shared" si="0"/>
        <v>0</v>
      </c>
      <c r="N79" s="32"/>
    </row>
    <row r="80" spans="1:14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189">
        <v>4964</v>
      </c>
      <c r="H80" s="186"/>
      <c r="I80" s="32"/>
      <c r="J80" s="33">
        <v>1058</v>
      </c>
      <c r="K80">
        <v>4964</v>
      </c>
      <c r="L80" s="34">
        <f t="shared" si="0"/>
        <v>0</v>
      </c>
      <c r="N80" s="32"/>
    </row>
    <row r="81" spans="1:14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189">
        <v>5465</v>
      </c>
      <c r="H81" s="186"/>
      <c r="I81" s="32"/>
      <c r="J81" s="33">
        <v>1059</v>
      </c>
      <c r="K81">
        <v>5465</v>
      </c>
      <c r="L81" s="34">
        <f t="shared" si="0"/>
        <v>0</v>
      </c>
      <c r="N81" s="32"/>
    </row>
    <row r="82" spans="1:14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189">
        <v>1436</v>
      </c>
      <c r="H82" s="186"/>
      <c r="I82" s="32"/>
      <c r="J82" s="33">
        <v>1060</v>
      </c>
      <c r="K82">
        <v>1436</v>
      </c>
      <c r="L82" s="34">
        <f t="shared" si="0"/>
        <v>0</v>
      </c>
      <c r="N82" s="32"/>
    </row>
    <row r="83" spans="1:14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189">
        <v>672</v>
      </c>
      <c r="H83" s="186"/>
      <c r="I83" s="32"/>
      <c r="J83" s="33">
        <v>1061</v>
      </c>
      <c r="K83">
        <v>672</v>
      </c>
      <c r="L83" s="34">
        <f t="shared" si="0"/>
        <v>0</v>
      </c>
      <c r="N83" s="32"/>
    </row>
    <row r="84" spans="1:14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8383</v>
      </c>
      <c r="H84" s="184"/>
      <c r="I84" s="32"/>
      <c r="J84" s="33">
        <v>1062</v>
      </c>
      <c r="K84">
        <v>8382</v>
      </c>
      <c r="L84" s="34">
        <f t="shared" si="0"/>
        <v>1</v>
      </c>
      <c r="N84" s="32"/>
    </row>
    <row r="85" spans="1:14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189">
        <v>0</v>
      </c>
      <c r="H85" s="186"/>
      <c r="I85" s="32"/>
      <c r="J85" s="70">
        <v>1063</v>
      </c>
      <c r="K85">
        <v>0</v>
      </c>
      <c r="L85" s="71">
        <f t="shared" si="0"/>
        <v>0</v>
      </c>
      <c r="N85" s="32"/>
    </row>
    <row r="86" spans="1:14" ht="15">
      <c r="A86" s="26"/>
      <c r="B86" s="35"/>
      <c r="C86" s="35"/>
      <c r="D86" s="39" t="s">
        <v>304</v>
      </c>
      <c r="E86" s="29" t="s">
        <v>218</v>
      </c>
      <c r="F86" s="30"/>
      <c r="G86" s="189">
        <v>4938</v>
      </c>
      <c r="H86" s="186"/>
      <c r="I86" s="32"/>
      <c r="J86" s="70">
        <v>1064</v>
      </c>
      <c r="K86">
        <v>4938</v>
      </c>
      <c r="L86" s="71">
        <f t="shared" ref="L86:L134" si="1">G86-K86</f>
        <v>0</v>
      </c>
      <c r="N86" s="32"/>
    </row>
    <row r="87" spans="1:14" ht="1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189">
        <v>4938</v>
      </c>
      <c r="H87" s="186"/>
      <c r="I87" s="32"/>
      <c r="J87" s="70">
        <v>1065</v>
      </c>
      <c r="K87">
        <v>4938</v>
      </c>
      <c r="L87" s="71">
        <f t="shared" si="1"/>
        <v>0</v>
      </c>
      <c r="N87" s="32"/>
    </row>
    <row r="88" spans="1:14" ht="1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189">
        <v>0</v>
      </c>
      <c r="H88" s="186"/>
      <c r="I88" s="32"/>
      <c r="J88" s="70">
        <v>1066</v>
      </c>
      <c r="K88">
        <v>0</v>
      </c>
      <c r="L88" s="71">
        <f t="shared" si="1"/>
        <v>0</v>
      </c>
      <c r="N88" s="32"/>
    </row>
    <row r="89" spans="1:14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189">
        <v>691</v>
      </c>
      <c r="H89" s="186"/>
      <c r="I89" s="32"/>
      <c r="J89" s="70">
        <v>1067</v>
      </c>
      <c r="K89">
        <v>691</v>
      </c>
      <c r="L89" s="71">
        <f t="shared" si="1"/>
        <v>0</v>
      </c>
      <c r="N89" s="32"/>
    </row>
    <row r="90" spans="1:14" ht="1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189">
        <v>2183</v>
      </c>
      <c r="H90" s="186"/>
      <c r="I90" s="32"/>
      <c r="J90" s="70">
        <v>1068</v>
      </c>
      <c r="K90">
        <v>2183</v>
      </c>
      <c r="L90" s="71">
        <f t="shared" si="1"/>
        <v>0</v>
      </c>
      <c r="N90" s="32"/>
    </row>
    <row r="91" spans="1:14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189">
        <v>571</v>
      </c>
      <c r="H91" s="186"/>
      <c r="I91" s="32"/>
      <c r="J91" s="70">
        <v>1069</v>
      </c>
      <c r="K91">
        <v>571</v>
      </c>
      <c r="L91" s="71">
        <f t="shared" si="1"/>
        <v>0</v>
      </c>
      <c r="N91" s="32"/>
    </row>
    <row r="92" spans="1:14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189">
        <v>0</v>
      </c>
      <c r="H92" s="186"/>
      <c r="I92" s="32"/>
      <c r="J92" s="70">
        <v>1070</v>
      </c>
      <c r="K92">
        <v>0</v>
      </c>
      <c r="L92" s="71">
        <f t="shared" si="1"/>
        <v>0</v>
      </c>
      <c r="N92" s="32"/>
    </row>
    <row r="93" spans="1:14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9341</v>
      </c>
      <c r="H93" s="184"/>
      <c r="I93" s="32"/>
      <c r="J93" s="33">
        <v>1071</v>
      </c>
      <c r="K93">
        <v>9344</v>
      </c>
      <c r="L93" s="34">
        <f t="shared" si="1"/>
        <v>-3</v>
      </c>
      <c r="N93" s="32"/>
    </row>
    <row r="94" spans="1:14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184"/>
      <c r="I94" s="32"/>
      <c r="J94" s="33">
        <v>1072</v>
      </c>
      <c r="K94">
        <v>0</v>
      </c>
      <c r="L94" s="34">
        <f t="shared" si="1"/>
        <v>0</v>
      </c>
      <c r="N94" s="32"/>
    </row>
    <row r="95" spans="1:14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89185</v>
      </c>
      <c r="H95" s="184"/>
      <c r="I95" s="32"/>
      <c r="J95" s="33">
        <v>1073</v>
      </c>
      <c r="K95">
        <v>89186</v>
      </c>
      <c r="L95" s="34">
        <f t="shared" si="1"/>
        <v>-1</v>
      </c>
      <c r="N95" s="32"/>
    </row>
    <row r="96" spans="1:14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57624</v>
      </c>
      <c r="H96" s="185"/>
      <c r="I96" s="32"/>
      <c r="J96" s="33">
        <v>1074</v>
      </c>
      <c r="K96">
        <v>57624</v>
      </c>
      <c r="L96" s="34">
        <f t="shared" si="1"/>
        <v>0</v>
      </c>
      <c r="N96" s="32"/>
    </row>
    <row r="97" spans="1:14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11519+130</f>
        <v>11649</v>
      </c>
      <c r="H97" s="186"/>
      <c r="I97" s="32"/>
      <c r="J97" s="33">
        <v>1075</v>
      </c>
      <c r="K97">
        <v>11519</v>
      </c>
      <c r="L97" s="34">
        <f t="shared" si="1"/>
        <v>130</v>
      </c>
      <c r="N97" s="32"/>
    </row>
    <row r="98" spans="1:14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46105-6055</f>
        <v>40050</v>
      </c>
      <c r="H98" s="186"/>
      <c r="I98" s="32"/>
      <c r="J98" s="33">
        <v>1076</v>
      </c>
      <c r="K98">
        <v>46105</v>
      </c>
      <c r="L98" s="34">
        <f t="shared" si="1"/>
        <v>-6055</v>
      </c>
      <c r="N98" s="32"/>
    </row>
    <row r="99" spans="1:14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v>0</v>
      </c>
      <c r="H99" s="186"/>
      <c r="I99" s="32"/>
      <c r="J99" s="33">
        <v>1077</v>
      </c>
      <c r="K99">
        <v>0</v>
      </c>
      <c r="L99" s="34">
        <f t="shared" si="1"/>
        <v>0</v>
      </c>
      <c r="N99" s="32"/>
    </row>
    <row r="100" spans="1:14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v>5925</v>
      </c>
      <c r="H100" s="186"/>
      <c r="I100" s="32"/>
      <c r="J100" s="33">
        <v>1078</v>
      </c>
      <c r="K100">
        <v>0</v>
      </c>
      <c r="L100" s="34">
        <f t="shared" si="1"/>
        <v>5925</v>
      </c>
      <c r="N100" s="32"/>
    </row>
    <row r="101" spans="1:14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30683</v>
      </c>
      <c r="H101" s="185"/>
      <c r="I101" s="32"/>
      <c r="J101" s="33">
        <v>1079</v>
      </c>
      <c r="K101">
        <v>30683</v>
      </c>
      <c r="L101" s="34">
        <f t="shared" si="1"/>
        <v>0</v>
      </c>
      <c r="N101" s="32"/>
    </row>
    <row r="102" spans="1:14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189">
        <v>7062</v>
      </c>
      <c r="H102" s="186"/>
      <c r="I102" s="32"/>
      <c r="J102" s="33">
        <v>1080</v>
      </c>
      <c r="K102">
        <v>7062</v>
      </c>
      <c r="L102" s="34">
        <f t="shared" si="1"/>
        <v>0</v>
      </c>
      <c r="N102" s="32"/>
    </row>
    <row r="103" spans="1:14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189">
        <v>6984</v>
      </c>
      <c r="H103" s="186"/>
      <c r="I103" s="32"/>
      <c r="J103" s="33">
        <v>1081</v>
      </c>
      <c r="K103">
        <v>6984</v>
      </c>
      <c r="L103" s="34">
        <f t="shared" si="1"/>
        <v>0</v>
      </c>
      <c r="N103" s="32"/>
    </row>
    <row r="104" spans="1:14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189">
        <v>14511</v>
      </c>
      <c r="H104" s="186"/>
      <c r="I104" s="32"/>
      <c r="J104" s="33">
        <v>1082</v>
      </c>
      <c r="K104">
        <v>14511</v>
      </c>
      <c r="L104" s="34">
        <f t="shared" si="1"/>
        <v>0</v>
      </c>
      <c r="N104" s="32"/>
    </row>
    <row r="105" spans="1:14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189">
        <v>2126</v>
      </c>
      <c r="H105" s="186"/>
      <c r="I105" s="32"/>
      <c r="J105" s="33">
        <v>1083</v>
      </c>
      <c r="K105">
        <v>2126</v>
      </c>
      <c r="L105" s="34">
        <f t="shared" si="1"/>
        <v>0</v>
      </c>
      <c r="N105" s="32"/>
    </row>
    <row r="106" spans="1:14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3">
        <v>1976</v>
      </c>
      <c r="H106" s="185"/>
      <c r="I106" s="32"/>
      <c r="J106" s="33">
        <v>1084</v>
      </c>
      <c r="K106">
        <v>1976</v>
      </c>
      <c r="L106" s="34">
        <f t="shared" si="1"/>
        <v>0</v>
      </c>
      <c r="N106" s="32"/>
    </row>
    <row r="107" spans="1:14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3">
        <v>1098</v>
      </c>
      <c r="H107" s="185"/>
      <c r="I107" s="32"/>
      <c r="J107" s="33">
        <v>1085</v>
      </c>
      <c r="K107">
        <v>1098</v>
      </c>
      <c r="L107" s="34">
        <f t="shared" si="1"/>
        <v>0</v>
      </c>
      <c r="N107" s="32"/>
    </row>
    <row r="108" spans="1:14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110005</v>
      </c>
      <c r="H108" s="188"/>
      <c r="I108" s="32"/>
      <c r="J108" s="33">
        <v>1086</v>
      </c>
      <c r="K108">
        <v>110008</v>
      </c>
      <c r="L108" s="34">
        <f t="shared" si="1"/>
        <v>-3</v>
      </c>
      <c r="N108" s="32"/>
    </row>
    <row r="109" spans="1:14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0</v>
      </c>
      <c r="H109" s="188"/>
      <c r="I109" s="32"/>
      <c r="J109" s="33">
        <v>1087</v>
      </c>
      <c r="K109">
        <v>0</v>
      </c>
      <c r="L109" s="34">
        <f t="shared" si="1"/>
        <v>0</v>
      </c>
      <c r="N109" s="32"/>
    </row>
    <row r="110" spans="1:14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3">
        <v>6422</v>
      </c>
      <c r="H110" s="185"/>
      <c r="I110" s="32"/>
      <c r="J110" s="33">
        <v>1088</v>
      </c>
      <c r="K110">
        <v>6422</v>
      </c>
      <c r="L110" s="34">
        <f t="shared" si="1"/>
        <v>0</v>
      </c>
      <c r="N110" s="32"/>
    </row>
    <row r="111" spans="1:14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3">
        <v>2150</v>
      </c>
      <c r="H111" s="185"/>
      <c r="I111" s="32"/>
      <c r="J111" s="33">
        <v>1089</v>
      </c>
      <c r="K111">
        <v>2150</v>
      </c>
      <c r="L111" s="34">
        <f t="shared" si="1"/>
        <v>0</v>
      </c>
      <c r="N111" s="32"/>
    </row>
    <row r="112" spans="1:14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3">
        <v>21929</v>
      </c>
      <c r="H112" s="185"/>
      <c r="I112" s="32"/>
      <c r="J112" s="33">
        <v>1090</v>
      </c>
      <c r="K112">
        <v>21929</v>
      </c>
      <c r="L112" s="34">
        <f t="shared" si="1"/>
        <v>0</v>
      </c>
      <c r="N112" s="32"/>
    </row>
    <row r="113" spans="1:14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3">
        <v>44074</v>
      </c>
      <c r="H113" s="185"/>
      <c r="I113" s="32"/>
      <c r="J113" s="33">
        <v>1091</v>
      </c>
      <c r="K113">
        <v>44074</v>
      </c>
      <c r="L113" s="34">
        <f t="shared" si="1"/>
        <v>0</v>
      </c>
      <c r="N113" s="32"/>
    </row>
    <row r="114" spans="1:14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3">
        <v>1304</v>
      </c>
      <c r="H114" s="185"/>
      <c r="I114" s="32"/>
      <c r="J114" s="33">
        <v>1092</v>
      </c>
      <c r="K114">
        <v>1304</v>
      </c>
      <c r="L114" s="34">
        <f t="shared" si="1"/>
        <v>0</v>
      </c>
      <c r="N114" s="32"/>
    </row>
    <row r="115" spans="1:14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3">
        <f>5028-3</f>
        <v>5025</v>
      </c>
      <c r="H115" s="185"/>
      <c r="I115" s="32"/>
      <c r="J115" s="33">
        <v>1093</v>
      </c>
      <c r="K115">
        <v>5028</v>
      </c>
      <c r="L115" s="34">
        <f t="shared" si="1"/>
        <v>-3</v>
      </c>
      <c r="N115" s="32"/>
    </row>
    <row r="116" spans="1:14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88411</v>
      </c>
      <c r="H116" s="188"/>
      <c r="I116" s="32"/>
      <c r="J116" s="33">
        <v>1094</v>
      </c>
      <c r="K116">
        <v>88412</v>
      </c>
      <c r="L116" s="34">
        <f t="shared" si="1"/>
        <v>-1</v>
      </c>
      <c r="N116" s="32"/>
    </row>
    <row r="117" spans="1:14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0</v>
      </c>
      <c r="H117" s="184"/>
      <c r="I117" s="32"/>
      <c r="J117" s="33">
        <v>1095</v>
      </c>
      <c r="K117">
        <v>0</v>
      </c>
      <c r="L117" s="34">
        <f t="shared" si="1"/>
        <v>0</v>
      </c>
      <c r="N117" s="32"/>
    </row>
    <row r="118" spans="1:14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3">
        <v>0</v>
      </c>
      <c r="H118" s="185"/>
      <c r="I118" s="32"/>
      <c r="J118" s="33">
        <v>1096</v>
      </c>
      <c r="K118">
        <v>0</v>
      </c>
      <c r="L118" s="34">
        <f t="shared" si="1"/>
        <v>0</v>
      </c>
      <c r="N118" s="32"/>
    </row>
    <row r="119" spans="1:14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3">
        <v>143</v>
      </c>
      <c r="H119" s="185"/>
      <c r="I119" s="32"/>
      <c r="J119" s="33">
        <v>1097</v>
      </c>
      <c r="K119">
        <v>143</v>
      </c>
      <c r="L119" s="34">
        <f t="shared" si="1"/>
        <v>0</v>
      </c>
      <c r="N119" s="32"/>
    </row>
    <row r="120" spans="1:14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3">
        <f>IF((G116+G118-G117-G119)&gt;0,(G116+G118-G117-G119),0)</f>
        <v>88268</v>
      </c>
      <c r="H120" s="185"/>
      <c r="I120" s="32"/>
      <c r="J120" s="33">
        <v>1098</v>
      </c>
      <c r="K120">
        <v>88268</v>
      </c>
      <c r="L120" s="34">
        <f t="shared" si="1"/>
        <v>0</v>
      </c>
      <c r="N120" s="32"/>
    </row>
    <row r="121" spans="1:14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3">
        <v>0</v>
      </c>
      <c r="H121" s="185"/>
      <c r="I121" s="32"/>
      <c r="J121" s="33">
        <v>1099</v>
      </c>
      <c r="K121">
        <v>0</v>
      </c>
      <c r="L121" s="34">
        <f t="shared" si="1"/>
        <v>0</v>
      </c>
      <c r="N121" s="32"/>
    </row>
    <row r="122" spans="1:14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189"/>
      <c r="H122" s="186"/>
      <c r="I122" s="32"/>
      <c r="J122" s="43"/>
      <c r="K122" s="43"/>
      <c r="L122" s="45">
        <f t="shared" si="1"/>
        <v>0</v>
      </c>
      <c r="N122" s="32"/>
    </row>
    <row r="123" spans="1:14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189">
        <v>0</v>
      </c>
      <c r="H123" s="186"/>
      <c r="I123" s="32"/>
      <c r="J123" s="33">
        <v>1100</v>
      </c>
      <c r="K123" s="33">
        <v>0</v>
      </c>
      <c r="L123" s="34">
        <f t="shared" si="1"/>
        <v>0</v>
      </c>
      <c r="N123" s="32"/>
    </row>
    <row r="124" spans="1:14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189">
        <v>0</v>
      </c>
      <c r="H124" s="186"/>
      <c r="I124" s="32"/>
      <c r="J124" s="33">
        <v>1101</v>
      </c>
      <c r="K124" s="33">
        <v>0</v>
      </c>
      <c r="L124" s="34">
        <f t="shared" si="1"/>
        <v>0</v>
      </c>
      <c r="N124" s="32"/>
    </row>
    <row r="125" spans="1:14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189">
        <v>0</v>
      </c>
      <c r="H125" s="186"/>
      <c r="I125" s="32"/>
      <c r="J125" s="33">
        <v>1102</v>
      </c>
      <c r="K125" s="33">
        <v>0</v>
      </c>
      <c r="L125" s="34">
        <f t="shared" si="1"/>
        <v>0</v>
      </c>
      <c r="N125" s="32"/>
    </row>
    <row r="126" spans="1:14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191">
        <f>IF((G120-G121-G123+G124-G125)&gt;0,G120-G121-G123+G124-G125,"0")</f>
        <v>88268</v>
      </c>
      <c r="H126" s="188"/>
      <c r="I126" s="32"/>
      <c r="J126" s="33">
        <v>1103</v>
      </c>
      <c r="K126" s="33">
        <v>88268</v>
      </c>
      <c r="L126" s="34">
        <f t="shared" si="1"/>
        <v>0</v>
      </c>
      <c r="N126" s="32"/>
    </row>
    <row r="127" spans="1:14">
      <c r="A127" s="29"/>
      <c r="B127" s="27"/>
      <c r="C127" s="27"/>
      <c r="D127" s="53" t="s">
        <v>272</v>
      </c>
      <c r="E127" s="29" t="s">
        <v>284</v>
      </c>
      <c r="F127" s="30"/>
      <c r="G127" s="41"/>
      <c r="H127" s="184"/>
      <c r="I127" s="32"/>
      <c r="J127" s="33">
        <v>1104</v>
      </c>
      <c r="K127" s="33">
        <v>0</v>
      </c>
      <c r="L127" s="34">
        <f t="shared" si="1"/>
        <v>0</v>
      </c>
      <c r="N127" s="32"/>
    </row>
    <row r="128" spans="1:14">
      <c r="A128" s="29"/>
      <c r="B128" s="27"/>
      <c r="C128" s="27"/>
      <c r="D128" s="53" t="s">
        <v>273</v>
      </c>
      <c r="E128" s="29" t="s">
        <v>285</v>
      </c>
      <c r="F128" s="30"/>
      <c r="G128" s="41"/>
      <c r="H128" s="184"/>
      <c r="I128" s="32"/>
      <c r="J128" s="33">
        <v>1105</v>
      </c>
      <c r="K128" s="33">
        <v>0</v>
      </c>
      <c r="L128" s="34">
        <f t="shared" si="1"/>
        <v>0</v>
      </c>
      <c r="N128" s="32"/>
    </row>
    <row r="129" spans="1:16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 t="s">
        <v>330</v>
      </c>
      <c r="H129" s="188"/>
      <c r="I129" s="32"/>
      <c r="J129" s="33">
        <v>1106</v>
      </c>
      <c r="K129" s="33">
        <v>0</v>
      </c>
      <c r="L129" s="34">
        <f t="shared" si="1"/>
        <v>0</v>
      </c>
      <c r="N129" s="32"/>
      <c r="O129" s="188">
        <v>111989</v>
      </c>
      <c r="P129" s="32"/>
    </row>
    <row r="130" spans="1:16">
      <c r="A130" s="29"/>
      <c r="B130" s="27"/>
      <c r="C130" s="27"/>
      <c r="D130" s="39" t="s">
        <v>274</v>
      </c>
      <c r="E130" s="29" t="s">
        <v>287</v>
      </c>
      <c r="F130" s="30"/>
      <c r="G130" s="189">
        <v>0</v>
      </c>
      <c r="H130" s="186"/>
      <c r="I130" s="32"/>
      <c r="J130" s="33">
        <v>1107</v>
      </c>
      <c r="K130" s="33">
        <v>0</v>
      </c>
      <c r="L130" s="34">
        <f t="shared" si="1"/>
        <v>0</v>
      </c>
      <c r="N130" s="32"/>
      <c r="O130" s="188">
        <v>88268</v>
      </c>
    </row>
    <row r="131" spans="1:16">
      <c r="A131" s="29"/>
      <c r="B131" s="27"/>
      <c r="C131" s="27"/>
      <c r="D131" s="39" t="s">
        <v>275</v>
      </c>
      <c r="E131" s="29" t="s">
        <v>288</v>
      </c>
      <c r="F131" s="30"/>
      <c r="G131" s="189">
        <v>0</v>
      </c>
      <c r="H131" s="186"/>
      <c r="I131" s="32"/>
      <c r="J131" s="33">
        <v>1108</v>
      </c>
      <c r="K131" s="33">
        <v>0</v>
      </c>
      <c r="L131" s="34">
        <f t="shared" si="1"/>
        <v>0</v>
      </c>
      <c r="N131" s="32"/>
    </row>
    <row r="132" spans="1:16">
      <c r="A132" s="29"/>
      <c r="B132" s="27" t="s">
        <v>93</v>
      </c>
      <c r="C132" s="27"/>
      <c r="D132" s="28" t="s">
        <v>94</v>
      </c>
      <c r="E132" s="29"/>
      <c r="F132" s="30"/>
      <c r="G132" s="189">
        <v>0</v>
      </c>
      <c r="H132" s="186"/>
      <c r="I132" s="32"/>
      <c r="J132" s="33">
        <v>1109</v>
      </c>
      <c r="K132" s="33">
        <v>0</v>
      </c>
      <c r="L132" s="34">
        <f t="shared" si="1"/>
        <v>0</v>
      </c>
      <c r="N132" s="32"/>
    </row>
    <row r="133" spans="1:16">
      <c r="A133" s="29"/>
      <c r="B133" s="27"/>
      <c r="C133" s="27"/>
      <c r="D133" s="39" t="s">
        <v>276</v>
      </c>
      <c r="E133" s="29" t="s">
        <v>289</v>
      </c>
      <c r="F133" s="30"/>
      <c r="G133" s="189">
        <v>0</v>
      </c>
      <c r="H133" s="186"/>
      <c r="I133" s="32"/>
      <c r="J133" s="33">
        <v>1110</v>
      </c>
      <c r="K133" s="33">
        <v>0</v>
      </c>
      <c r="L133" s="34">
        <f t="shared" si="1"/>
        <v>0</v>
      </c>
      <c r="N133" s="32"/>
    </row>
    <row r="134" spans="1:16" ht="25.5">
      <c r="A134" s="29"/>
      <c r="B134" s="27"/>
      <c r="C134" s="27"/>
      <c r="D134" s="39" t="s">
        <v>277</v>
      </c>
      <c r="E134" s="29" t="s">
        <v>290</v>
      </c>
      <c r="F134" s="30"/>
      <c r="G134" s="189">
        <v>0</v>
      </c>
      <c r="H134" s="186"/>
      <c r="I134" s="32"/>
      <c r="J134" s="33">
        <v>1111</v>
      </c>
      <c r="K134" s="33">
        <v>0</v>
      </c>
      <c r="L134" s="34">
        <f t="shared" si="1"/>
        <v>0</v>
      </c>
      <c r="N134" s="32"/>
    </row>
    <row r="135" spans="1:16" ht="13.5" customHeight="1">
      <c r="H135" s="232"/>
      <c r="J135" s="33"/>
      <c r="K135" s="57"/>
      <c r="N135" s="32"/>
    </row>
    <row r="136" spans="1:16">
      <c r="N136" s="32"/>
    </row>
    <row r="137" spans="1:16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N137" s="32"/>
    </row>
    <row r="138" spans="1:16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N138" s="32"/>
    </row>
    <row r="139" spans="1:16">
      <c r="A139" s="1"/>
      <c r="B139" s="2"/>
      <c r="C139" s="58"/>
      <c r="D139" s="59"/>
      <c r="E139" s="60"/>
      <c r="F139" s="60"/>
      <c r="G139" s="61"/>
      <c r="H139" s="233"/>
      <c r="N139" s="32"/>
    </row>
    <row r="140" spans="1:16">
      <c r="A140" s="62"/>
      <c r="B140" s="63"/>
      <c r="C140" s="64"/>
      <c r="D140" s="64"/>
      <c r="E140" s="64"/>
      <c r="F140" s="64"/>
      <c r="G140" s="65"/>
      <c r="H140" s="234"/>
      <c r="N140" s="32"/>
    </row>
    <row r="141" spans="1:16">
      <c r="A141" s="1"/>
      <c r="B141" s="2"/>
      <c r="C141" s="58"/>
      <c r="D141" s="59"/>
      <c r="E141" s="60"/>
      <c r="F141" s="60"/>
      <c r="G141" s="66"/>
      <c r="H141" s="235"/>
      <c r="N141" s="32"/>
    </row>
    <row r="142" spans="1:16">
      <c r="A142" s="1"/>
      <c r="B142" s="2"/>
      <c r="C142" s="58"/>
      <c r="D142" s="59"/>
      <c r="E142" s="60"/>
      <c r="F142" s="60"/>
      <c r="G142" s="61"/>
      <c r="H142" s="233"/>
      <c r="N142" s="32"/>
    </row>
    <row r="143" spans="1:16">
      <c r="A143" s="1"/>
      <c r="B143" s="2"/>
      <c r="C143" s="58"/>
      <c r="D143" s="59"/>
      <c r="E143" s="60"/>
      <c r="F143" s="60"/>
      <c r="G143" s="61"/>
      <c r="H143" s="233"/>
      <c r="N143" s="32"/>
    </row>
    <row r="144" spans="1:16">
      <c r="A144" s="1"/>
      <c r="B144" s="2"/>
      <c r="C144" s="58"/>
      <c r="D144" s="59"/>
      <c r="E144" s="60"/>
      <c r="F144" s="60"/>
      <c r="G144" s="61"/>
      <c r="H144" s="233"/>
      <c r="N144" s="32"/>
    </row>
    <row r="145" spans="1:14">
      <c r="A145" s="1"/>
      <c r="B145" s="2"/>
      <c r="C145" s="58"/>
      <c r="D145" s="59"/>
      <c r="E145" s="60"/>
      <c r="F145" s="60"/>
      <c r="G145" s="61"/>
      <c r="H145" s="233"/>
      <c r="N145" s="32"/>
    </row>
    <row r="146" spans="1:14">
      <c r="A146" s="1"/>
      <c r="B146" s="2"/>
      <c r="C146" s="58"/>
      <c r="D146" s="59"/>
      <c r="E146" s="60"/>
      <c r="F146" s="60"/>
      <c r="G146" s="61"/>
      <c r="H146" s="233"/>
      <c r="N146" s="32"/>
    </row>
    <row r="147" spans="1:14">
      <c r="A147" s="1"/>
      <c r="B147" s="2"/>
      <c r="C147" s="58"/>
      <c r="D147" s="59"/>
      <c r="E147" s="60"/>
      <c r="F147" s="60"/>
      <c r="G147" s="61"/>
      <c r="H147" s="233"/>
      <c r="N147" s="32"/>
    </row>
    <row r="148" spans="1:14">
      <c r="A148" s="1"/>
      <c r="B148" s="2"/>
      <c r="C148" s="58"/>
      <c r="D148" s="59"/>
      <c r="E148" s="60"/>
      <c r="F148" s="60"/>
      <c r="G148" s="67"/>
      <c r="H148" s="233"/>
      <c r="N148" s="32"/>
    </row>
    <row r="149" spans="1:14">
      <c r="A149" s="1"/>
      <c r="B149" s="2"/>
      <c r="C149" s="58"/>
      <c r="D149" s="59"/>
      <c r="E149" s="60"/>
      <c r="F149" s="60"/>
      <c r="G149" s="61"/>
      <c r="H149" s="233"/>
      <c r="N149" s="32"/>
    </row>
    <row r="150" spans="1:14">
      <c r="A150" s="1"/>
      <c r="B150" s="2"/>
      <c r="C150" s="58"/>
      <c r="D150" s="59"/>
      <c r="E150" s="60"/>
      <c r="F150" s="60"/>
      <c r="G150" s="61"/>
      <c r="H150" s="233"/>
      <c r="N150" s="32"/>
    </row>
    <row r="151" spans="1:14">
      <c r="A151" s="1"/>
      <c r="B151" s="2"/>
      <c r="C151" s="58"/>
      <c r="D151" s="59"/>
      <c r="E151" s="60"/>
      <c r="F151" s="60"/>
      <c r="G151" s="61"/>
      <c r="H151" s="233"/>
      <c r="N151" s="32"/>
    </row>
    <row r="152" spans="1:14">
      <c r="A152" s="1"/>
      <c r="B152" s="2"/>
      <c r="C152" s="58"/>
      <c r="D152" s="59"/>
      <c r="E152" s="60"/>
      <c r="F152" s="60"/>
      <c r="G152" s="61"/>
      <c r="H152" s="233"/>
      <c r="N152" s="32"/>
    </row>
    <row r="153" spans="1:14">
      <c r="A153" s="1"/>
      <c r="B153" s="2"/>
      <c r="C153" s="58"/>
      <c r="D153" s="59"/>
      <c r="E153" s="60"/>
      <c r="F153" s="60"/>
      <c r="G153" s="61"/>
      <c r="H153" s="233"/>
      <c r="N153" s="32"/>
    </row>
    <row r="154" spans="1:14">
      <c r="A154" s="1"/>
      <c r="B154" s="2"/>
      <c r="C154" s="58"/>
      <c r="D154" s="59"/>
      <c r="E154" s="60"/>
      <c r="F154" s="60"/>
      <c r="G154" s="61"/>
      <c r="H154" s="233"/>
      <c r="N154" s="32"/>
    </row>
    <row r="155" spans="1:14">
      <c r="A155" s="1"/>
      <c r="B155" s="2"/>
      <c r="C155" s="58"/>
      <c r="D155" s="59"/>
      <c r="E155" s="60"/>
      <c r="F155" s="60"/>
      <c r="G155" s="61"/>
      <c r="H155" s="233"/>
      <c r="N155" s="32"/>
    </row>
    <row r="156" spans="1:14">
      <c r="A156" s="1"/>
      <c r="B156" s="2"/>
      <c r="C156" s="58"/>
      <c r="D156" s="59"/>
      <c r="E156" s="60"/>
      <c r="F156" s="60"/>
      <c r="G156" s="61"/>
      <c r="H156" s="233"/>
      <c r="N156" s="32"/>
    </row>
    <row r="157" spans="1:14">
      <c r="A157" s="1"/>
      <c r="B157" s="2"/>
      <c r="C157" s="58"/>
      <c r="D157" s="59"/>
      <c r="E157" s="60"/>
      <c r="F157" s="60"/>
      <c r="G157" s="61"/>
      <c r="H157" s="233"/>
      <c r="N157" s="32"/>
    </row>
    <row r="158" spans="1:14">
      <c r="A158" s="1"/>
      <c r="B158" s="2"/>
      <c r="C158" s="58"/>
      <c r="D158" s="59"/>
      <c r="E158" s="60"/>
      <c r="F158" s="60"/>
      <c r="G158" s="61"/>
      <c r="H158" s="233"/>
      <c r="N158" s="32"/>
    </row>
    <row r="159" spans="1:14">
      <c r="A159" s="1"/>
      <c r="B159" s="2"/>
      <c r="C159" s="58"/>
      <c r="D159" s="59"/>
      <c r="E159" s="60"/>
      <c r="F159" s="60"/>
      <c r="G159" s="61"/>
      <c r="H159" s="233"/>
      <c r="N159" s="32"/>
    </row>
    <row r="160" spans="1:14">
      <c r="A160" s="1"/>
      <c r="B160" s="2"/>
      <c r="C160" s="58"/>
      <c r="D160" s="59"/>
      <c r="E160" s="60"/>
      <c r="F160" s="60"/>
      <c r="G160" s="61"/>
      <c r="H160" s="233"/>
      <c r="N160" s="32"/>
    </row>
    <row r="161" spans="1:14">
      <c r="A161" s="1"/>
      <c r="B161" s="2"/>
      <c r="C161" s="58"/>
      <c r="D161" s="59"/>
      <c r="E161" s="60"/>
      <c r="F161" s="60"/>
      <c r="G161" s="61"/>
      <c r="H161" s="233"/>
      <c r="N161" s="32"/>
    </row>
    <row r="162" spans="1:14">
      <c r="A162" s="1"/>
      <c r="B162" s="2"/>
      <c r="C162" s="58"/>
      <c r="D162" s="59"/>
      <c r="E162" s="60"/>
      <c r="F162" s="60"/>
      <c r="G162" s="61"/>
      <c r="H162" s="233"/>
      <c r="N162" s="32"/>
    </row>
    <row r="163" spans="1:14">
      <c r="A163" s="1"/>
      <c r="B163" s="2"/>
      <c r="C163" s="58"/>
      <c r="D163" s="59"/>
      <c r="E163" s="60"/>
      <c r="F163" s="60"/>
      <c r="G163" s="61"/>
      <c r="H163" s="233"/>
      <c r="N163" s="32"/>
    </row>
    <row r="164" spans="1:14">
      <c r="A164" s="1"/>
      <c r="B164" s="2"/>
      <c r="C164" s="58"/>
      <c r="D164" s="59"/>
      <c r="E164" s="60"/>
      <c r="F164" s="60"/>
      <c r="G164" s="61"/>
      <c r="H164" s="233"/>
      <c r="N164" s="32"/>
    </row>
    <row r="165" spans="1:14">
      <c r="A165" s="1"/>
      <c r="B165" s="2"/>
      <c r="C165" s="58"/>
      <c r="D165" s="59"/>
      <c r="E165" s="60"/>
      <c r="F165" s="60"/>
      <c r="G165" s="61"/>
      <c r="H165" s="233"/>
      <c r="N165" s="32"/>
    </row>
    <row r="166" spans="1:14">
      <c r="A166" s="1"/>
      <c r="B166" s="2"/>
      <c r="C166" s="3"/>
      <c r="D166" s="68"/>
      <c r="E166" s="4"/>
      <c r="F166" s="4"/>
      <c r="N166" s="32"/>
    </row>
    <row r="167" spans="1:14">
      <c r="A167" s="1"/>
      <c r="B167" s="2"/>
      <c r="C167" s="3"/>
      <c r="D167" s="68"/>
      <c r="E167" s="4"/>
      <c r="F167" s="4"/>
      <c r="N167" s="32"/>
    </row>
    <row r="168" spans="1:14">
      <c r="A168" s="1"/>
      <c r="B168" s="2"/>
      <c r="C168" s="3"/>
      <c r="D168" s="68"/>
      <c r="E168" s="4"/>
      <c r="F168" s="4"/>
      <c r="N168" s="32"/>
    </row>
    <row r="169" spans="1:14">
      <c r="A169" s="1"/>
      <c r="B169" s="2"/>
      <c r="C169" s="3"/>
      <c r="D169" s="68"/>
      <c r="E169" s="4"/>
      <c r="F169" s="4"/>
      <c r="N169" s="32"/>
    </row>
    <row r="170" spans="1:14">
      <c r="A170" s="1"/>
      <c r="B170" s="2"/>
      <c r="C170" s="3"/>
      <c r="D170" s="68"/>
      <c r="E170" s="4"/>
      <c r="F170" s="4"/>
      <c r="N170" s="32"/>
    </row>
    <row r="171" spans="1:14">
      <c r="A171" s="1"/>
      <c r="B171" s="2"/>
      <c r="C171" s="3"/>
      <c r="D171" s="68"/>
      <c r="E171" s="4"/>
      <c r="F171" s="4"/>
      <c r="N171" s="32"/>
    </row>
    <row r="172" spans="1:14">
      <c r="A172" s="1"/>
      <c r="B172" s="2"/>
      <c r="C172" s="3"/>
      <c r="D172" s="68"/>
      <c r="E172" s="4"/>
      <c r="F172" s="4"/>
      <c r="N172" s="32"/>
    </row>
    <row r="173" spans="1:14">
      <c r="A173" s="1"/>
      <c r="B173" s="2"/>
      <c r="C173" s="3"/>
      <c r="D173" s="68"/>
      <c r="E173" s="4"/>
      <c r="F173" s="4"/>
      <c r="N173" s="32"/>
    </row>
    <row r="174" spans="1:14">
      <c r="A174" s="1"/>
      <c r="B174" s="2"/>
      <c r="C174" s="3"/>
      <c r="D174" s="68"/>
      <c r="E174" s="4"/>
      <c r="F174" s="4"/>
      <c r="N174" s="32"/>
    </row>
    <row r="175" spans="1:14">
      <c r="A175" s="1"/>
      <c r="B175" s="2"/>
      <c r="C175" s="3"/>
      <c r="D175" s="68"/>
      <c r="E175" s="4"/>
      <c r="F175" s="4"/>
      <c r="N175" s="32"/>
    </row>
    <row r="176" spans="1:14">
      <c r="A176" s="1"/>
      <c r="B176" s="2"/>
      <c r="C176" s="3"/>
      <c r="D176" s="68"/>
      <c r="E176" s="4"/>
      <c r="F176" s="4"/>
      <c r="N176" s="32"/>
    </row>
    <row r="177" spans="1:14">
      <c r="A177" s="1"/>
      <c r="B177" s="2"/>
      <c r="C177" s="3"/>
      <c r="D177" s="68"/>
      <c r="E177" s="4"/>
      <c r="F177" s="4"/>
      <c r="N177" s="32"/>
    </row>
    <row r="178" spans="1:14">
      <c r="A178" s="1"/>
      <c r="B178" s="2"/>
      <c r="C178" s="3"/>
      <c r="D178" s="68"/>
      <c r="E178" s="4"/>
      <c r="F178" s="4"/>
      <c r="N178" s="32"/>
    </row>
    <row r="179" spans="1:14">
      <c r="A179" s="1"/>
      <c r="B179" s="2"/>
      <c r="C179" s="3"/>
      <c r="D179" s="68"/>
      <c r="E179" s="4"/>
      <c r="F179" s="4"/>
      <c r="N179" s="32"/>
    </row>
    <row r="180" spans="1:14">
      <c r="A180" s="1"/>
      <c r="B180" s="2"/>
      <c r="C180" s="3"/>
      <c r="D180" s="68"/>
      <c r="E180" s="4"/>
      <c r="F180" s="4"/>
      <c r="N180" s="32"/>
    </row>
    <row r="181" spans="1:14">
      <c r="A181" s="1"/>
      <c r="B181" s="2"/>
      <c r="C181" s="3"/>
      <c r="D181" s="68"/>
      <c r="E181" s="4"/>
      <c r="F181" s="4"/>
      <c r="N181" s="32"/>
    </row>
    <row r="182" spans="1:14">
      <c r="A182" s="1"/>
      <c r="B182" s="2"/>
      <c r="C182" s="3"/>
      <c r="D182" s="68"/>
      <c r="E182" s="4"/>
      <c r="F182" s="4"/>
      <c r="N182" s="32"/>
    </row>
    <row r="183" spans="1:14">
      <c r="A183" s="1"/>
      <c r="B183" s="2"/>
      <c r="C183" s="3"/>
      <c r="D183" s="68"/>
      <c r="E183" s="4"/>
      <c r="F183" s="4"/>
      <c r="N183" s="32"/>
    </row>
    <row r="184" spans="1:14">
      <c r="A184" s="1"/>
      <c r="B184" s="2"/>
      <c r="C184" s="3"/>
      <c r="D184" s="68"/>
      <c r="E184" s="4"/>
      <c r="F184" s="4"/>
      <c r="N184" s="32"/>
    </row>
    <row r="185" spans="1:14">
      <c r="A185" s="1"/>
      <c r="B185" s="2"/>
      <c r="C185" s="3"/>
      <c r="D185" s="68"/>
      <c r="E185" s="4"/>
      <c r="F185" s="4"/>
      <c r="N185" s="32"/>
    </row>
    <row r="186" spans="1:14">
      <c r="A186" s="1"/>
      <c r="B186" s="2"/>
      <c r="C186" s="3"/>
      <c r="D186" s="68"/>
      <c r="E186" s="4"/>
      <c r="F186" s="4"/>
      <c r="N186" s="32"/>
    </row>
    <row r="187" spans="1:14">
      <c r="A187" s="1"/>
      <c r="B187" s="2"/>
      <c r="C187" s="3"/>
      <c r="D187" s="68"/>
      <c r="E187" s="4"/>
      <c r="F187" s="4"/>
      <c r="N187" s="32"/>
    </row>
    <row r="188" spans="1:14">
      <c r="A188" s="1"/>
      <c r="B188" s="2"/>
      <c r="C188" s="3"/>
      <c r="D188" s="68"/>
      <c r="E188" s="4"/>
      <c r="F188" s="4"/>
    </row>
    <row r="189" spans="1:14">
      <c r="A189" s="1"/>
      <c r="B189" s="2"/>
      <c r="C189" s="3"/>
      <c r="D189" s="68"/>
      <c r="E189" s="4"/>
      <c r="F189" s="4"/>
    </row>
    <row r="190" spans="1:14">
      <c r="A190" s="1"/>
      <c r="B190" s="2"/>
      <c r="C190" s="3"/>
      <c r="D190" s="68"/>
      <c r="E190" s="4"/>
      <c r="F190" s="4"/>
    </row>
    <row r="191" spans="1:14">
      <c r="A191" s="1"/>
      <c r="B191" s="2"/>
      <c r="C191" s="3"/>
      <c r="D191" s="68"/>
      <c r="E191" s="4"/>
      <c r="F191" s="4"/>
    </row>
    <row r="192" spans="1:14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B20:D20"/>
    <mergeCell ref="A137:C137"/>
    <mergeCell ref="D137:F137"/>
    <mergeCell ref="G137:H137"/>
    <mergeCell ref="A138:C138"/>
    <mergeCell ref="D138:F138"/>
    <mergeCell ref="G138:H138"/>
    <mergeCell ref="A12:D12"/>
    <mergeCell ref="A14:H14"/>
    <mergeCell ref="A15:H15"/>
    <mergeCell ref="A16:H16"/>
    <mergeCell ref="G17:H17"/>
    <mergeCell ref="A18:A19"/>
    <mergeCell ref="B18:D19"/>
    <mergeCell ref="E18:E19"/>
    <mergeCell ref="F18:F19"/>
    <mergeCell ref="G18:H18"/>
    <mergeCell ref="A11:G11"/>
    <mergeCell ref="A2:D2"/>
    <mergeCell ref="A3:D3"/>
    <mergeCell ref="A4:D4"/>
    <mergeCell ref="A5:D5"/>
    <mergeCell ref="A6:D6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1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171450</xdr:rowOff>
              </to>
            </anchor>
          </objectPr>
        </oleObject>
      </mc:Choice>
      <mc:Fallback>
        <oleObject progId="Word.Document.8" shapeId="1536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B1" workbookViewId="0">
      <selection activeCell="G134" sqref="G21:G134"/>
    </sheetView>
  </sheetViews>
  <sheetFormatPr defaultRowHeight="15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226" customWidth="1"/>
    <col min="9" max="9" width="9.140625" style="5"/>
    <col min="10" max="10" width="13.140625" style="5" hidden="1" customWidth="1"/>
    <col min="11" max="11" width="9.140625" style="5" hidden="1" customWidth="1"/>
    <col min="12" max="12" width="9.28515625" style="6" hidden="1" customWidth="1"/>
    <col min="13" max="13" width="9.140625" style="5"/>
    <col min="14" max="14" width="10.5703125" style="5" customWidth="1"/>
    <col min="15" max="15" width="11.7109375" style="5" customWidth="1"/>
    <col min="16" max="16384" width="9.140625" style="5"/>
  </cols>
  <sheetData>
    <row r="1" spans="1:12" ht="16.5" customHeight="1">
      <c r="A1" s="1"/>
      <c r="B1" s="2"/>
      <c r="C1" s="3"/>
      <c r="D1" s="4"/>
      <c r="E1" s="4"/>
      <c r="F1" s="4"/>
    </row>
    <row r="2" spans="1:12">
      <c r="A2" s="319"/>
      <c r="B2" s="319"/>
      <c r="C2" s="319"/>
      <c r="D2" s="319"/>
      <c r="E2" s="4"/>
      <c r="F2" s="4"/>
    </row>
    <row r="3" spans="1:12" ht="13.5" customHeight="1">
      <c r="A3" s="319"/>
      <c r="B3" s="319"/>
      <c r="C3" s="319"/>
      <c r="D3" s="319"/>
      <c r="E3" s="4"/>
      <c r="F3" s="4"/>
    </row>
    <row r="4" spans="1:12" ht="15" customHeight="1">
      <c r="A4" s="319"/>
      <c r="B4" s="319"/>
      <c r="C4" s="319"/>
      <c r="D4" s="319"/>
      <c r="E4" s="4"/>
      <c r="F4" s="4"/>
    </row>
    <row r="5" spans="1:12" ht="16.5" customHeight="1">
      <c r="A5" s="319"/>
      <c r="B5" s="319"/>
      <c r="C5" s="319"/>
      <c r="D5" s="319"/>
      <c r="E5" s="4"/>
      <c r="F5" s="4"/>
    </row>
    <row r="6" spans="1:12">
      <c r="A6" s="319"/>
      <c r="B6" s="319"/>
      <c r="C6" s="319"/>
      <c r="D6" s="319"/>
      <c r="E6" s="4"/>
      <c r="F6" s="4"/>
    </row>
    <row r="7" spans="1:12" ht="13.5" customHeight="1">
      <c r="A7" s="1"/>
      <c r="B7" s="2"/>
      <c r="C7" s="3"/>
      <c r="D7" s="4"/>
      <c r="E7" s="4"/>
      <c r="F7" s="4"/>
    </row>
    <row r="8" spans="1:12" ht="13.5" customHeight="1">
      <c r="A8" s="1"/>
      <c r="B8" s="2"/>
      <c r="C8" s="3"/>
      <c r="D8" s="4"/>
      <c r="E8" s="4"/>
      <c r="F8" s="4"/>
    </row>
    <row r="9" spans="1:12" ht="13.5" customHeight="1">
      <c r="A9" s="1"/>
      <c r="B9" s="2"/>
      <c r="C9" s="3"/>
      <c r="D9" s="4"/>
      <c r="E9" s="4"/>
      <c r="F9" s="4"/>
    </row>
    <row r="10" spans="1:12">
      <c r="A10" s="1"/>
      <c r="B10" s="2"/>
      <c r="C10" s="3"/>
      <c r="D10" s="4"/>
      <c r="E10" s="4"/>
      <c r="F10" s="4"/>
    </row>
    <row r="11" spans="1:12" s="7" customFormat="1" ht="13.5" customHeight="1">
      <c r="A11" s="318"/>
      <c r="B11" s="318"/>
      <c r="C11" s="318"/>
      <c r="D11" s="318"/>
      <c r="E11" s="318"/>
      <c r="F11" s="318"/>
      <c r="G11" s="318"/>
      <c r="H11" s="227"/>
      <c r="L11" s="8"/>
    </row>
    <row r="12" spans="1:12" s="7" customFormat="1" ht="13.5" customHeight="1">
      <c r="A12" s="318"/>
      <c r="B12" s="318"/>
      <c r="C12" s="318"/>
      <c r="D12" s="318"/>
      <c r="E12" s="4"/>
      <c r="F12" s="4"/>
      <c r="H12" s="227"/>
      <c r="L12" s="8"/>
    </row>
    <row r="13" spans="1:12" s="7" customFormat="1" ht="24" customHeight="1">
      <c r="A13" s="1"/>
      <c r="B13" s="2"/>
      <c r="C13" s="3"/>
      <c r="D13" s="4"/>
      <c r="E13" s="4"/>
      <c r="F13" s="4"/>
      <c r="H13" s="228"/>
      <c r="L13" s="8"/>
    </row>
    <row r="14" spans="1:12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L14" s="8"/>
    </row>
    <row r="15" spans="1:12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L15" s="8"/>
    </row>
    <row r="16" spans="1:12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L16" s="8"/>
    </row>
    <row r="17" spans="1:15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L17" s="8"/>
    </row>
    <row r="18" spans="1:15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L18" s="8"/>
    </row>
    <row r="19" spans="1:15" s="7" customFormat="1" ht="37.5" customHeight="1">
      <c r="A19" s="336"/>
      <c r="B19" s="336"/>
      <c r="C19" s="336"/>
      <c r="D19" s="336"/>
      <c r="E19" s="337"/>
      <c r="F19" s="338"/>
      <c r="G19" s="10" t="s">
        <v>4</v>
      </c>
      <c r="H19" s="229" t="s">
        <v>5</v>
      </c>
      <c r="L19" s="8"/>
    </row>
    <row r="20" spans="1:15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15">
        <v>5</v>
      </c>
      <c r="H20" s="230">
        <v>6</v>
      </c>
      <c r="L20" s="8"/>
    </row>
    <row r="21" spans="1:15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75"/>
      <c r="H21" s="241"/>
      <c r="L21" s="25"/>
    </row>
    <row r="22" spans="1:15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41">
        <f>G23+G30+G35+G36</f>
        <v>-279</v>
      </c>
      <c r="H22" s="184">
        <f>H23+H30+H35+H36</f>
        <v>30171</v>
      </c>
      <c r="I22" s="32"/>
      <c r="J22" s="33">
        <v>1001</v>
      </c>
      <c r="K22" s="33">
        <v>6543</v>
      </c>
      <c r="L22" s="34">
        <f t="shared" ref="L22:L85" si="0">G22-K22</f>
        <v>-6822</v>
      </c>
      <c r="N22" s="32"/>
    </row>
    <row r="23" spans="1:15" ht="25.5" customHeight="1">
      <c r="A23" s="29"/>
      <c r="B23" s="35"/>
      <c r="C23" s="35"/>
      <c r="D23" s="28" t="s">
        <v>292</v>
      </c>
      <c r="E23" s="29" t="s">
        <v>107</v>
      </c>
      <c r="F23" s="36"/>
      <c r="G23" s="83">
        <f>G24+G25-G26-G27-G28+G29</f>
        <v>-3411</v>
      </c>
      <c r="H23" s="185">
        <f>H24+H25-H26-H27-H28+H29</f>
        <v>29980</v>
      </c>
      <c r="I23" s="32"/>
      <c r="J23" s="33">
        <v>1002</v>
      </c>
      <c r="K23" s="33">
        <v>-3411</v>
      </c>
      <c r="L23" s="34">
        <f t="shared" si="0"/>
        <v>0</v>
      </c>
      <c r="N23" s="32"/>
      <c r="O23" s="38"/>
    </row>
    <row r="24" spans="1:15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189">
        <f>K24</f>
        <v>0</v>
      </c>
      <c r="H24" s="186">
        <v>0</v>
      </c>
      <c r="I24" s="32"/>
      <c r="J24" s="33">
        <v>1003</v>
      </c>
      <c r="K24" s="33">
        <v>0</v>
      </c>
      <c r="L24" s="34">
        <f t="shared" si="0"/>
        <v>0</v>
      </c>
      <c r="N24" s="32"/>
    </row>
    <row r="25" spans="1:15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189">
        <f>K25</f>
        <v>63472</v>
      </c>
      <c r="H25" s="186">
        <v>103340</v>
      </c>
      <c r="I25" s="32"/>
      <c r="J25" s="33">
        <v>1004</v>
      </c>
      <c r="K25" s="33">
        <v>63472</v>
      </c>
      <c r="L25" s="34">
        <f t="shared" si="0"/>
        <v>0</v>
      </c>
      <c r="N25" s="32"/>
    </row>
    <row r="26" spans="1:15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189">
        <f t="shared" ref="G26:G29" si="1">K26</f>
        <v>0</v>
      </c>
      <c r="H26" s="186">
        <v>0</v>
      </c>
      <c r="I26" s="32"/>
      <c r="J26" s="33">
        <v>1005</v>
      </c>
      <c r="K26" s="33">
        <v>0</v>
      </c>
      <c r="L26" s="34">
        <f t="shared" si="0"/>
        <v>0</v>
      </c>
      <c r="N26" s="32"/>
      <c r="O26" s="38"/>
    </row>
    <row r="27" spans="1:15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189">
        <f t="shared" si="1"/>
        <v>61595</v>
      </c>
      <c r="H27" s="186">
        <v>52825</v>
      </c>
      <c r="I27" s="32"/>
      <c r="J27" s="33">
        <v>1006</v>
      </c>
      <c r="K27" s="33">
        <v>61595</v>
      </c>
      <c r="L27" s="34">
        <f t="shared" si="0"/>
        <v>0</v>
      </c>
      <c r="N27" s="32"/>
    </row>
    <row r="28" spans="1:15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189">
        <f t="shared" si="1"/>
        <v>5288</v>
      </c>
      <c r="H28" s="186">
        <v>20535</v>
      </c>
      <c r="I28" s="32"/>
      <c r="J28" s="33">
        <v>1007</v>
      </c>
      <c r="K28" s="33">
        <v>5288</v>
      </c>
      <c r="L28" s="34">
        <f t="shared" si="0"/>
        <v>0</v>
      </c>
      <c r="N28" s="32"/>
    </row>
    <row r="29" spans="1:15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189">
        <f t="shared" si="1"/>
        <v>0</v>
      </c>
      <c r="H29" s="186">
        <v>0</v>
      </c>
      <c r="I29" s="32"/>
      <c r="J29" s="33">
        <v>1008</v>
      </c>
      <c r="K29" s="33">
        <v>0</v>
      </c>
      <c r="L29" s="34">
        <f t="shared" si="0"/>
        <v>0</v>
      </c>
      <c r="N29" s="32"/>
    </row>
    <row r="30" spans="1:15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f>G31-G32-G33+G34</f>
        <v>0</v>
      </c>
      <c r="H30" s="185">
        <f>H31-H32-H33+H34</f>
        <v>0</v>
      </c>
      <c r="I30" s="32"/>
      <c r="J30" s="33">
        <v>1009</v>
      </c>
      <c r="K30" s="33">
        <v>0</v>
      </c>
      <c r="L30" s="34">
        <f t="shared" si="0"/>
        <v>0</v>
      </c>
      <c r="N30" s="32"/>
    </row>
    <row r="31" spans="1:15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189">
        <f>K31</f>
        <v>0</v>
      </c>
      <c r="H31" s="186">
        <v>0</v>
      </c>
      <c r="I31" s="32"/>
      <c r="J31" s="33">
        <v>1010</v>
      </c>
      <c r="K31" s="33">
        <v>0</v>
      </c>
      <c r="L31" s="34">
        <f t="shared" si="0"/>
        <v>0</v>
      </c>
      <c r="N31" s="32"/>
    </row>
    <row r="32" spans="1:15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189">
        <f t="shared" ref="G32:G36" si="2">K32</f>
        <v>0</v>
      </c>
      <c r="H32" s="186">
        <v>0</v>
      </c>
      <c r="I32" s="32"/>
      <c r="J32" s="33">
        <v>1011</v>
      </c>
      <c r="K32" s="33">
        <v>0</v>
      </c>
      <c r="L32" s="34">
        <f t="shared" si="0"/>
        <v>0</v>
      </c>
      <c r="N32" s="32"/>
    </row>
    <row r="33" spans="1:14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189">
        <f t="shared" si="2"/>
        <v>0</v>
      </c>
      <c r="H33" s="186">
        <v>0</v>
      </c>
      <c r="I33" s="32"/>
      <c r="J33" s="33">
        <v>1012</v>
      </c>
      <c r="K33" s="33">
        <v>0</v>
      </c>
      <c r="L33" s="34">
        <f t="shared" si="0"/>
        <v>0</v>
      </c>
      <c r="N33" s="32"/>
    </row>
    <row r="34" spans="1:14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189">
        <f t="shared" si="2"/>
        <v>0</v>
      </c>
      <c r="H34" s="186">
        <v>0</v>
      </c>
      <c r="I34" s="32"/>
      <c r="J34" s="33">
        <v>1013</v>
      </c>
      <c r="K34" s="33">
        <v>0</v>
      </c>
      <c r="L34" s="34">
        <f t="shared" si="0"/>
        <v>0</v>
      </c>
      <c r="N34" s="32"/>
    </row>
    <row r="35" spans="1:14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3">
        <f>K35</f>
        <v>119</v>
      </c>
      <c r="H35" s="185">
        <v>158</v>
      </c>
      <c r="I35" s="32"/>
      <c r="J35" s="33">
        <v>1014</v>
      </c>
      <c r="K35" s="33">
        <v>119</v>
      </c>
      <c r="L35" s="34">
        <f t="shared" si="0"/>
        <v>0</v>
      </c>
      <c r="N35" s="32"/>
    </row>
    <row r="36" spans="1:14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3">
        <f t="shared" si="2"/>
        <v>3013</v>
      </c>
      <c r="H36" s="185">
        <v>33</v>
      </c>
      <c r="I36" s="32"/>
      <c r="J36" s="33">
        <v>1015</v>
      </c>
      <c r="K36" s="33">
        <v>3013</v>
      </c>
      <c r="L36" s="34">
        <f t="shared" si="0"/>
        <v>0</v>
      </c>
      <c r="N36" s="32"/>
    </row>
    <row r="37" spans="1:14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41">
        <f>G38+G47+G55-G56-G65+G66-G67+G68+G69</f>
        <v>-14916</v>
      </c>
      <c r="H37" s="184">
        <f>H38+H47+H55-H56-H65+H66-H67+H68+H69</f>
        <v>23496</v>
      </c>
      <c r="I37" s="32"/>
      <c r="J37" s="33">
        <v>1016</v>
      </c>
      <c r="K37" s="33">
        <v>-14915</v>
      </c>
      <c r="L37" s="34">
        <f t="shared" si="0"/>
        <v>-1</v>
      </c>
      <c r="N37" s="32"/>
    </row>
    <row r="38" spans="1:14" ht="32.25" customHeight="1">
      <c r="A38" s="29"/>
      <c r="B38" s="35"/>
      <c r="C38" s="35"/>
      <c r="D38" s="28" t="s">
        <v>295</v>
      </c>
      <c r="E38" s="29" t="s">
        <v>128</v>
      </c>
      <c r="F38" s="36"/>
      <c r="G38" s="83">
        <f>G39+G40+G41+G42+G43+G44+G45+G46</f>
        <v>117</v>
      </c>
      <c r="H38" s="185">
        <f>H39+H40+H41+H42+H43+H44+H45+H46</f>
        <v>97</v>
      </c>
      <c r="I38" s="32"/>
      <c r="J38" s="33">
        <v>1017</v>
      </c>
      <c r="K38" s="33">
        <v>117</v>
      </c>
      <c r="L38" s="34">
        <f t="shared" si="0"/>
        <v>0</v>
      </c>
      <c r="N38" s="32"/>
    </row>
    <row r="39" spans="1:14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189">
        <f>K39</f>
        <v>0</v>
      </c>
      <c r="H39" s="186">
        <v>0</v>
      </c>
      <c r="I39" s="32"/>
      <c r="J39" s="33">
        <v>1018</v>
      </c>
      <c r="K39" s="33">
        <v>0</v>
      </c>
      <c r="L39" s="34">
        <f t="shared" si="0"/>
        <v>0</v>
      </c>
      <c r="N39" s="32"/>
    </row>
    <row r="40" spans="1:14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189">
        <f t="shared" ref="G40:G46" si="3">K40</f>
        <v>0</v>
      </c>
      <c r="H40" s="186">
        <v>0</v>
      </c>
      <c r="I40" s="32"/>
      <c r="J40" s="33">
        <v>1019</v>
      </c>
      <c r="K40" s="33">
        <v>0</v>
      </c>
      <c r="L40" s="34">
        <f t="shared" si="0"/>
        <v>0</v>
      </c>
      <c r="N40" s="32"/>
    </row>
    <row r="41" spans="1:14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189">
        <f t="shared" si="3"/>
        <v>116</v>
      </c>
      <c r="H41" s="186">
        <v>97</v>
      </c>
      <c r="I41" s="32"/>
      <c r="J41" s="33">
        <v>1020</v>
      </c>
      <c r="K41" s="33">
        <v>116</v>
      </c>
      <c r="L41" s="34">
        <f t="shared" si="0"/>
        <v>0</v>
      </c>
      <c r="N41" s="32"/>
    </row>
    <row r="42" spans="1:14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189">
        <f t="shared" si="3"/>
        <v>1</v>
      </c>
      <c r="H42" s="186">
        <v>0</v>
      </c>
      <c r="I42" s="32"/>
      <c r="J42" s="33">
        <v>1021</v>
      </c>
      <c r="K42" s="33">
        <v>1</v>
      </c>
      <c r="L42" s="34">
        <f t="shared" si="0"/>
        <v>0</v>
      </c>
      <c r="N42" s="32"/>
    </row>
    <row r="43" spans="1:14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189">
        <f t="shared" si="3"/>
        <v>0</v>
      </c>
      <c r="H43" s="186">
        <v>0</v>
      </c>
      <c r="I43" s="32"/>
      <c r="J43" s="33">
        <v>1022</v>
      </c>
      <c r="K43" s="33">
        <v>0</v>
      </c>
      <c r="L43" s="34">
        <f t="shared" si="0"/>
        <v>0</v>
      </c>
      <c r="N43" s="32"/>
    </row>
    <row r="44" spans="1:14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189">
        <f t="shared" si="3"/>
        <v>0</v>
      </c>
      <c r="H44" s="186">
        <v>0</v>
      </c>
      <c r="I44" s="32"/>
      <c r="J44" s="33">
        <v>1023</v>
      </c>
      <c r="K44" s="33">
        <v>0</v>
      </c>
      <c r="L44" s="34">
        <f t="shared" si="0"/>
        <v>0</v>
      </c>
      <c r="N44" s="32"/>
    </row>
    <row r="45" spans="1:14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189">
        <f t="shared" si="3"/>
        <v>0</v>
      </c>
      <c r="H45" s="186">
        <v>0</v>
      </c>
      <c r="I45" s="32"/>
      <c r="J45" s="33">
        <v>1024</v>
      </c>
      <c r="K45" s="33">
        <v>0</v>
      </c>
      <c r="L45" s="34">
        <f t="shared" si="0"/>
        <v>0</v>
      </c>
      <c r="N45" s="32"/>
    </row>
    <row r="46" spans="1:14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189">
        <f t="shared" si="3"/>
        <v>0</v>
      </c>
      <c r="H46" s="186">
        <v>0</v>
      </c>
      <c r="I46" s="32"/>
      <c r="J46" s="33">
        <v>1025</v>
      </c>
      <c r="K46" s="33">
        <v>0</v>
      </c>
      <c r="L46" s="34">
        <f t="shared" si="0"/>
        <v>0</v>
      </c>
      <c r="N46" s="32"/>
    </row>
    <row r="47" spans="1:14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11896</v>
      </c>
      <c r="H47" s="185">
        <f>H48+H49+H50+H51+H52-H53-H54</f>
        <v>2808</v>
      </c>
      <c r="I47" s="32"/>
      <c r="J47" s="33">
        <v>1026</v>
      </c>
      <c r="K47" s="33">
        <v>11897</v>
      </c>
      <c r="L47" s="34">
        <f t="shared" si="0"/>
        <v>-1</v>
      </c>
      <c r="N47" s="32"/>
    </row>
    <row r="48" spans="1:14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189">
        <f>K48</f>
        <v>0</v>
      </c>
      <c r="H48" s="186">
        <v>0</v>
      </c>
      <c r="I48" s="32"/>
      <c r="J48" s="33">
        <v>1027</v>
      </c>
      <c r="K48" s="33">
        <v>0</v>
      </c>
      <c r="L48" s="34">
        <f t="shared" si="0"/>
        <v>0</v>
      </c>
      <c r="N48" s="32"/>
    </row>
    <row r="49" spans="1:14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189">
        <f t="shared" ref="G49:G54" si="4">K49</f>
        <v>21650</v>
      </c>
      <c r="H49" s="186">
        <v>4831</v>
      </c>
      <c r="I49" s="32"/>
      <c r="J49" s="33">
        <v>1028</v>
      </c>
      <c r="K49" s="33">
        <v>21650</v>
      </c>
      <c r="L49" s="34">
        <f t="shared" si="0"/>
        <v>0</v>
      </c>
      <c r="N49" s="32"/>
    </row>
    <row r="50" spans="1:14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189">
        <f t="shared" si="4"/>
        <v>0</v>
      </c>
      <c r="H50" s="186">
        <v>0</v>
      </c>
      <c r="I50" s="32"/>
      <c r="J50" s="33">
        <v>1029</v>
      </c>
      <c r="K50" s="33">
        <v>0</v>
      </c>
      <c r="L50" s="34">
        <f t="shared" si="0"/>
        <v>0</v>
      </c>
      <c r="N50" s="32"/>
    </row>
    <row r="51" spans="1:14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189">
        <f t="shared" si="4"/>
        <v>0</v>
      </c>
      <c r="H51" s="186">
        <v>0</v>
      </c>
      <c r="I51" s="32"/>
      <c r="J51" s="33">
        <v>1030</v>
      </c>
      <c r="K51" s="33">
        <v>0</v>
      </c>
      <c r="L51" s="34">
        <f t="shared" si="0"/>
        <v>0</v>
      </c>
      <c r="N51" s="32"/>
    </row>
    <row r="52" spans="1:14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189">
        <f t="shared" si="4"/>
        <v>1567</v>
      </c>
      <c r="H52" s="186">
        <v>417</v>
      </c>
      <c r="I52" s="32"/>
      <c r="J52" s="33">
        <v>1031</v>
      </c>
      <c r="K52" s="33">
        <v>1567</v>
      </c>
      <c r="L52" s="34">
        <f t="shared" si="0"/>
        <v>0</v>
      </c>
      <c r="N52" s="32"/>
    </row>
    <row r="53" spans="1:14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189">
        <f t="shared" si="4"/>
        <v>0</v>
      </c>
      <c r="H53" s="186">
        <v>0</v>
      </c>
      <c r="I53" s="32"/>
      <c r="J53" s="33">
        <v>1032</v>
      </c>
      <c r="K53" s="33">
        <v>0</v>
      </c>
      <c r="L53" s="34">
        <f t="shared" si="0"/>
        <v>0</v>
      </c>
      <c r="N53" s="32"/>
    </row>
    <row r="54" spans="1:14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189">
        <f t="shared" si="4"/>
        <v>11321</v>
      </c>
      <c r="H54" s="186">
        <v>2440</v>
      </c>
      <c r="I54" s="32"/>
      <c r="J54" s="33">
        <v>1033</v>
      </c>
      <c r="K54" s="33">
        <v>11321</v>
      </c>
      <c r="L54" s="34">
        <f t="shared" si="0"/>
        <v>0</v>
      </c>
      <c r="N54" s="32"/>
    </row>
    <row r="55" spans="1:14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0</v>
      </c>
      <c r="H55" s="185">
        <f>IF((H57-H58+H59-H60+H61-H62+H63-H64)&gt;0,(H57-H58+H59-H60+H61-H62+H63-H64),0)</f>
        <v>18156</v>
      </c>
      <c r="I55" s="32"/>
      <c r="J55" s="33">
        <v>1034</v>
      </c>
      <c r="K55" s="33">
        <v>0</v>
      </c>
      <c r="L55" s="34">
        <f t="shared" si="0"/>
        <v>0</v>
      </c>
      <c r="N55" s="32"/>
    </row>
    <row r="56" spans="1:14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29807</v>
      </c>
      <c r="H56" s="187">
        <f>IF((H57-H58+H59-H60+H61-H62+H63-H64)&lt;0,-(H57-H58+H59-H60+H61-H62+H63-H64),0)</f>
        <v>0</v>
      </c>
      <c r="I56" s="32"/>
      <c r="J56" s="33">
        <v>1035</v>
      </c>
      <c r="K56" s="33">
        <v>29807</v>
      </c>
      <c r="L56" s="34">
        <f t="shared" si="0"/>
        <v>0</v>
      </c>
      <c r="N56" s="32"/>
    </row>
    <row r="57" spans="1:14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189">
        <f>K57</f>
        <v>0</v>
      </c>
      <c r="H57" s="186">
        <v>0</v>
      </c>
      <c r="I57" s="32"/>
      <c r="J57" s="33">
        <v>1036</v>
      </c>
      <c r="K57" s="33">
        <v>0</v>
      </c>
      <c r="L57" s="34">
        <f t="shared" si="0"/>
        <v>0</v>
      </c>
      <c r="N57" s="32"/>
    </row>
    <row r="58" spans="1:14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189">
        <f t="shared" ref="G58:G69" si="5">K58</f>
        <v>0</v>
      </c>
      <c r="H58" s="186">
        <v>0</v>
      </c>
      <c r="I58" s="32"/>
      <c r="J58" s="33">
        <v>1037</v>
      </c>
      <c r="K58" s="33">
        <v>0</v>
      </c>
      <c r="L58" s="34">
        <f t="shared" si="0"/>
        <v>0</v>
      </c>
      <c r="N58" s="32"/>
    </row>
    <row r="59" spans="1:14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189">
        <f t="shared" si="5"/>
        <v>87586</v>
      </c>
      <c r="H59" s="186">
        <v>71444</v>
      </c>
      <c r="I59" s="32"/>
      <c r="J59" s="33">
        <v>1038</v>
      </c>
      <c r="K59" s="33">
        <v>87586</v>
      </c>
      <c r="L59" s="34">
        <f t="shared" si="0"/>
        <v>0</v>
      </c>
      <c r="N59" s="32"/>
    </row>
    <row r="60" spans="1:14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189">
        <f t="shared" si="5"/>
        <v>117393</v>
      </c>
      <c r="H60" s="186">
        <v>53288</v>
      </c>
      <c r="I60" s="32"/>
      <c r="J60" s="33">
        <v>1039</v>
      </c>
      <c r="K60" s="33">
        <v>117393</v>
      </c>
      <c r="L60" s="34">
        <f t="shared" si="0"/>
        <v>0</v>
      </c>
      <c r="N60" s="32"/>
    </row>
    <row r="61" spans="1:14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189">
        <f t="shared" si="5"/>
        <v>0</v>
      </c>
      <c r="H61" s="186">
        <v>0</v>
      </c>
      <c r="I61" s="32"/>
      <c r="J61" s="33">
        <v>1040</v>
      </c>
      <c r="K61" s="33">
        <v>0</v>
      </c>
      <c r="L61" s="34">
        <f t="shared" si="0"/>
        <v>0</v>
      </c>
      <c r="N61" s="32"/>
    </row>
    <row r="62" spans="1:14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189">
        <f t="shared" si="5"/>
        <v>0</v>
      </c>
      <c r="H62" s="186">
        <v>0</v>
      </c>
      <c r="I62" s="32"/>
      <c r="J62" s="33">
        <v>1041</v>
      </c>
      <c r="K62" s="33">
        <v>0</v>
      </c>
      <c r="L62" s="34">
        <f t="shared" si="0"/>
        <v>0</v>
      </c>
      <c r="N62" s="32"/>
    </row>
    <row r="63" spans="1:14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189">
        <f t="shared" si="5"/>
        <v>0</v>
      </c>
      <c r="H63" s="186">
        <v>0</v>
      </c>
      <c r="I63" s="32"/>
      <c r="J63" s="33">
        <v>1042</v>
      </c>
      <c r="K63" s="33">
        <v>0</v>
      </c>
      <c r="L63" s="34">
        <f t="shared" si="0"/>
        <v>0</v>
      </c>
      <c r="N63" s="32"/>
    </row>
    <row r="64" spans="1:14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189">
        <f t="shared" si="5"/>
        <v>0</v>
      </c>
      <c r="H64" s="186">
        <v>0</v>
      </c>
      <c r="I64" s="32"/>
      <c r="J64" s="33">
        <v>1043</v>
      </c>
      <c r="K64" s="33">
        <v>0</v>
      </c>
      <c r="L64" s="34">
        <f t="shared" si="0"/>
        <v>0</v>
      </c>
      <c r="N64" s="32"/>
    </row>
    <row r="65" spans="1:14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3">
        <f>K65</f>
        <v>4</v>
      </c>
      <c r="H65" s="185">
        <v>0</v>
      </c>
      <c r="I65" s="32"/>
      <c r="J65" s="33">
        <v>1044</v>
      </c>
      <c r="K65" s="33">
        <v>4</v>
      </c>
      <c r="L65" s="34">
        <f t="shared" si="0"/>
        <v>0</v>
      </c>
      <c r="N65" s="32"/>
    </row>
    <row r="66" spans="1:14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3">
        <f t="shared" si="5"/>
        <v>0</v>
      </c>
      <c r="H66" s="185">
        <v>0</v>
      </c>
      <c r="I66" s="32"/>
      <c r="J66" s="33">
        <v>1045</v>
      </c>
      <c r="K66" s="33">
        <v>0</v>
      </c>
      <c r="L66" s="34">
        <f t="shared" si="0"/>
        <v>0</v>
      </c>
      <c r="N66" s="32"/>
    </row>
    <row r="67" spans="1:14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3">
        <f t="shared" si="5"/>
        <v>0</v>
      </c>
      <c r="H67" s="185">
        <v>251</v>
      </c>
      <c r="I67" s="32"/>
      <c r="J67" s="33">
        <v>1046</v>
      </c>
      <c r="K67" s="33">
        <v>0</v>
      </c>
      <c r="L67" s="34">
        <f t="shared" si="0"/>
        <v>0</v>
      </c>
      <c r="N67" s="32"/>
    </row>
    <row r="68" spans="1:14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3">
        <f t="shared" si="5"/>
        <v>2882</v>
      </c>
      <c r="H68" s="185">
        <v>2686</v>
      </c>
      <c r="I68" s="32"/>
      <c r="J68" s="33">
        <v>1047</v>
      </c>
      <c r="K68" s="33">
        <v>2882</v>
      </c>
      <c r="L68" s="34">
        <f t="shared" si="0"/>
        <v>0</v>
      </c>
      <c r="N68" s="32"/>
    </row>
    <row r="69" spans="1:14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3">
        <f t="shared" si="5"/>
        <v>0</v>
      </c>
      <c r="H69" s="185">
        <v>0</v>
      </c>
      <c r="I69" s="32"/>
      <c r="J69" s="33">
        <v>1048</v>
      </c>
      <c r="K69" s="33">
        <v>0</v>
      </c>
      <c r="L69" s="34">
        <f t="shared" si="0"/>
        <v>0</v>
      </c>
      <c r="N69" s="32"/>
    </row>
    <row r="70" spans="1:14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14637</v>
      </c>
      <c r="H70" s="184">
        <f>IF((H22-H37)&gt;0,(H22-H37),0)</f>
        <v>6675</v>
      </c>
      <c r="I70" s="32"/>
      <c r="J70" s="33">
        <v>1049</v>
      </c>
      <c r="K70" s="33">
        <v>0</v>
      </c>
      <c r="L70" s="34">
        <f t="shared" si="0"/>
        <v>14637</v>
      </c>
      <c r="N70" s="32"/>
    </row>
    <row r="71" spans="1:14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184">
        <f>IF((H22-H37)&lt;0,-(H22-H37),0)</f>
        <v>0</v>
      </c>
      <c r="I71" s="32"/>
      <c r="J71" s="33">
        <v>1050</v>
      </c>
      <c r="K71" s="33">
        <v>8372</v>
      </c>
      <c r="L71" s="34">
        <f t="shared" si="0"/>
        <v>-8372</v>
      </c>
      <c r="N71" s="32"/>
    </row>
    <row r="72" spans="1:14" ht="25.5">
      <c r="A72" s="26"/>
      <c r="B72" s="27" t="s">
        <v>56</v>
      </c>
      <c r="C72" s="27"/>
      <c r="D72" s="42" t="s">
        <v>301</v>
      </c>
      <c r="E72" s="29"/>
      <c r="F72" s="30"/>
      <c r="G72" s="41"/>
      <c r="H72" s="184"/>
      <c r="I72" s="32"/>
      <c r="J72" s="43"/>
      <c r="K72" s="44"/>
      <c r="L72" s="45">
        <f t="shared" si="0"/>
        <v>0</v>
      </c>
      <c r="N72" s="32"/>
    </row>
    <row r="73" spans="1:14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3772</v>
      </c>
      <c r="H73" s="184">
        <f>H74+H75+H79+H80+H81+H82+H83</f>
        <v>2020</v>
      </c>
      <c r="I73" s="32"/>
      <c r="J73" s="33">
        <v>1051</v>
      </c>
      <c r="K73" s="33">
        <v>3771</v>
      </c>
      <c r="L73" s="34">
        <f t="shared" si="0"/>
        <v>1</v>
      </c>
      <c r="N73" s="32"/>
    </row>
    <row r="74" spans="1:14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108">
        <f>K74</f>
        <v>105</v>
      </c>
      <c r="H74" s="186">
        <v>364</v>
      </c>
      <c r="I74" s="32"/>
      <c r="J74" s="33">
        <v>1052</v>
      </c>
      <c r="K74" s="33">
        <v>105</v>
      </c>
      <c r="L74" s="34">
        <f t="shared" si="0"/>
        <v>0</v>
      </c>
      <c r="N74" s="32"/>
    </row>
    <row r="75" spans="1:14" ht="15.75" customHeight="1">
      <c r="A75" s="26"/>
      <c r="B75" s="27"/>
      <c r="C75" s="27"/>
      <c r="D75" s="39" t="s">
        <v>188</v>
      </c>
      <c r="E75" s="29" t="s">
        <v>190</v>
      </c>
      <c r="F75" s="30"/>
      <c r="G75" s="108">
        <f>G76+G77+G78</f>
        <v>545</v>
      </c>
      <c r="H75" s="186">
        <v>539</v>
      </c>
      <c r="I75" s="32"/>
      <c r="J75" s="33">
        <v>1053</v>
      </c>
      <c r="K75" s="33">
        <v>545</v>
      </c>
      <c r="L75" s="34">
        <f t="shared" si="0"/>
        <v>0</v>
      </c>
      <c r="N75" s="32"/>
    </row>
    <row r="76" spans="1:14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108">
        <f>K76</f>
        <v>298</v>
      </c>
      <c r="H76" s="186">
        <v>539</v>
      </c>
      <c r="I76" s="32"/>
      <c r="J76" s="33">
        <v>1054</v>
      </c>
      <c r="K76" s="33">
        <v>298</v>
      </c>
      <c r="L76" s="34">
        <f t="shared" si="0"/>
        <v>0</v>
      </c>
      <c r="N76" s="32"/>
    </row>
    <row r="77" spans="1:14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108">
        <f t="shared" ref="G77:G83" si="6">K77</f>
        <v>246</v>
      </c>
      <c r="H77" s="186">
        <v>0</v>
      </c>
      <c r="I77" s="32"/>
      <c r="J77" s="33">
        <v>1055</v>
      </c>
      <c r="K77" s="33">
        <v>246</v>
      </c>
      <c r="L77" s="34">
        <f t="shared" si="0"/>
        <v>0</v>
      </c>
      <c r="N77" s="32"/>
    </row>
    <row r="78" spans="1:14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108">
        <f t="shared" si="6"/>
        <v>1</v>
      </c>
      <c r="H78" s="186">
        <v>0</v>
      </c>
      <c r="I78" s="32"/>
      <c r="J78" s="33">
        <v>1056</v>
      </c>
      <c r="K78" s="33">
        <v>1</v>
      </c>
      <c r="L78" s="34">
        <f t="shared" si="0"/>
        <v>0</v>
      </c>
      <c r="N78" s="32"/>
    </row>
    <row r="79" spans="1:14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108">
        <f t="shared" si="6"/>
        <v>382</v>
      </c>
      <c r="H79" s="186">
        <v>159</v>
      </c>
      <c r="I79" s="32"/>
      <c r="J79" s="33">
        <v>1057</v>
      </c>
      <c r="K79" s="33">
        <v>382</v>
      </c>
      <c r="L79" s="34">
        <f t="shared" si="0"/>
        <v>0</v>
      </c>
      <c r="N79" s="32"/>
    </row>
    <row r="80" spans="1:14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108">
        <f t="shared" si="6"/>
        <v>1070</v>
      </c>
      <c r="H80" s="186">
        <v>115</v>
      </c>
      <c r="I80" s="32"/>
      <c r="J80" s="33">
        <v>1058</v>
      </c>
      <c r="K80" s="33">
        <v>1070</v>
      </c>
      <c r="L80" s="34">
        <f t="shared" si="0"/>
        <v>0</v>
      </c>
      <c r="N80" s="32"/>
    </row>
    <row r="81" spans="1:14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108">
        <f t="shared" si="6"/>
        <v>1094</v>
      </c>
      <c r="H81" s="186">
        <v>3</v>
      </c>
      <c r="I81" s="32"/>
      <c r="J81" s="33">
        <v>1059</v>
      </c>
      <c r="K81" s="33">
        <v>1094</v>
      </c>
      <c r="L81" s="34">
        <f t="shared" si="0"/>
        <v>0</v>
      </c>
      <c r="N81" s="32"/>
    </row>
    <row r="82" spans="1:14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108">
        <f t="shared" si="6"/>
        <v>431</v>
      </c>
      <c r="H82" s="186">
        <v>840</v>
      </c>
      <c r="I82" s="32"/>
      <c r="J82" s="33">
        <v>1060</v>
      </c>
      <c r="K82" s="33">
        <v>431</v>
      </c>
      <c r="L82" s="34">
        <f t="shared" si="0"/>
        <v>0</v>
      </c>
      <c r="N82" s="32"/>
    </row>
    <row r="83" spans="1:14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108">
        <f t="shared" si="6"/>
        <v>145</v>
      </c>
      <c r="H83" s="186">
        <v>0</v>
      </c>
      <c r="I83" s="32"/>
      <c r="J83" s="33">
        <v>1061</v>
      </c>
      <c r="K83" s="33">
        <v>145</v>
      </c>
      <c r="L83" s="34">
        <f t="shared" si="0"/>
        <v>0</v>
      </c>
      <c r="N83" s="32"/>
    </row>
    <row r="84" spans="1:14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1756</v>
      </c>
      <c r="H84" s="184">
        <f>H85+H86+H89+H90+H91+H92</f>
        <v>524</v>
      </c>
      <c r="I84" s="32"/>
      <c r="J84" s="33">
        <v>1062</v>
      </c>
      <c r="K84" s="33">
        <v>1755</v>
      </c>
      <c r="L84" s="34">
        <f t="shared" si="0"/>
        <v>1</v>
      </c>
      <c r="N84" s="32"/>
    </row>
    <row r="85" spans="1:14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189">
        <f>K85</f>
        <v>0</v>
      </c>
      <c r="H85" s="186">
        <v>0</v>
      </c>
      <c r="I85" s="32"/>
      <c r="J85" s="70">
        <v>1063</v>
      </c>
      <c r="K85" s="70">
        <v>0</v>
      </c>
      <c r="L85" s="71">
        <f t="shared" si="0"/>
        <v>0</v>
      </c>
      <c r="N85" s="32"/>
    </row>
    <row r="86" spans="1:14" ht="15">
      <c r="A86" s="26"/>
      <c r="B86" s="35"/>
      <c r="C86" s="35"/>
      <c r="D86" s="39" t="s">
        <v>304</v>
      </c>
      <c r="E86" s="29" t="s">
        <v>218</v>
      </c>
      <c r="F86" s="30"/>
      <c r="G86" s="189">
        <f>G87+G88</f>
        <v>1008</v>
      </c>
      <c r="H86" s="186">
        <v>0</v>
      </c>
      <c r="I86" s="32"/>
      <c r="J86" s="70">
        <v>1064</v>
      </c>
      <c r="K86" s="70">
        <v>1008</v>
      </c>
      <c r="L86" s="71">
        <f t="shared" ref="L86:L134" si="7">G86-K86</f>
        <v>0</v>
      </c>
      <c r="N86" s="32"/>
    </row>
    <row r="87" spans="1:14" ht="1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189">
        <f t="shared" ref="G87:G92" si="8">K87</f>
        <v>1008</v>
      </c>
      <c r="H87" s="186">
        <v>0</v>
      </c>
      <c r="I87" s="32"/>
      <c r="J87" s="70">
        <v>1065</v>
      </c>
      <c r="K87" s="70">
        <v>1008</v>
      </c>
      <c r="L87" s="71">
        <f t="shared" si="7"/>
        <v>0</v>
      </c>
      <c r="N87" s="32"/>
    </row>
    <row r="88" spans="1:14" ht="1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189">
        <f t="shared" si="8"/>
        <v>0</v>
      </c>
      <c r="H88" s="186">
        <v>0</v>
      </c>
      <c r="I88" s="32"/>
      <c r="J88" s="70">
        <v>1066</v>
      </c>
      <c r="K88" s="70">
        <v>0</v>
      </c>
      <c r="L88" s="71">
        <f t="shared" si="7"/>
        <v>0</v>
      </c>
      <c r="N88" s="32"/>
    </row>
    <row r="89" spans="1:14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189">
        <f t="shared" si="8"/>
        <v>115</v>
      </c>
      <c r="H89" s="186">
        <v>8</v>
      </c>
      <c r="I89" s="32"/>
      <c r="J89" s="70">
        <v>1067</v>
      </c>
      <c r="K89" s="70">
        <v>115</v>
      </c>
      <c r="L89" s="71">
        <f t="shared" si="7"/>
        <v>0</v>
      </c>
      <c r="N89" s="32"/>
    </row>
    <row r="90" spans="1:14" ht="1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189">
        <f t="shared" si="8"/>
        <v>497</v>
      </c>
      <c r="H90" s="186">
        <v>0</v>
      </c>
      <c r="I90" s="32"/>
      <c r="J90" s="70">
        <v>1068</v>
      </c>
      <c r="K90" s="70">
        <v>497</v>
      </c>
      <c r="L90" s="71">
        <f t="shared" si="7"/>
        <v>0</v>
      </c>
      <c r="N90" s="32"/>
    </row>
    <row r="91" spans="1:14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189">
        <f t="shared" si="8"/>
        <v>136</v>
      </c>
      <c r="H91" s="186">
        <v>516</v>
      </c>
      <c r="I91" s="32"/>
      <c r="J91" s="70">
        <v>1069</v>
      </c>
      <c r="K91" s="70">
        <v>136</v>
      </c>
      <c r="L91" s="71">
        <f t="shared" si="7"/>
        <v>0</v>
      </c>
      <c r="N91" s="32"/>
    </row>
    <row r="92" spans="1:14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189">
        <f t="shared" si="8"/>
        <v>0</v>
      </c>
      <c r="H92" s="186">
        <v>0</v>
      </c>
      <c r="I92" s="32"/>
      <c r="J92" s="70">
        <v>1070</v>
      </c>
      <c r="K92" s="70">
        <v>0</v>
      </c>
      <c r="L92" s="71">
        <f t="shared" si="7"/>
        <v>0</v>
      </c>
      <c r="N92" s="32"/>
    </row>
    <row r="93" spans="1:14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2016</v>
      </c>
      <c r="H93" s="184">
        <f>IF((H73-H84)&gt;0,(H73-H84),0)</f>
        <v>1496</v>
      </c>
      <c r="I93" s="32"/>
      <c r="J93" s="33">
        <v>1071</v>
      </c>
      <c r="K93" s="33">
        <v>2016</v>
      </c>
      <c r="L93" s="34">
        <f t="shared" si="7"/>
        <v>0</v>
      </c>
      <c r="N93" s="32"/>
    </row>
    <row r="94" spans="1:14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184">
        <f>IF((H73-H84)&lt;0,-(H73-H84),0)</f>
        <v>0</v>
      </c>
      <c r="I94" s="32"/>
      <c r="J94" s="33">
        <v>1072</v>
      </c>
      <c r="K94" s="33">
        <v>0</v>
      </c>
      <c r="L94" s="34">
        <f t="shared" si="7"/>
        <v>0</v>
      </c>
      <c r="N94" s="32"/>
    </row>
    <row r="95" spans="1:14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13921</v>
      </c>
      <c r="H95" s="184">
        <f>H96+H101+H106-H107</f>
        <v>25159</v>
      </c>
      <c r="I95" s="32"/>
      <c r="J95" s="33">
        <v>1073</v>
      </c>
      <c r="K95" s="33">
        <v>13921</v>
      </c>
      <c r="L95" s="34">
        <f t="shared" si="7"/>
        <v>0</v>
      </c>
      <c r="N95" s="32"/>
    </row>
    <row r="96" spans="1:14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9248</v>
      </c>
      <c r="H96" s="185">
        <f>H97+H98-H99+H100</f>
        <v>12399</v>
      </c>
      <c r="I96" s="32"/>
      <c r="J96" s="33">
        <v>1074</v>
      </c>
      <c r="K96" s="33">
        <v>9249</v>
      </c>
      <c r="L96" s="34">
        <f t="shared" si="7"/>
        <v>-1</v>
      </c>
      <c r="N96" s="32"/>
    </row>
    <row r="97" spans="1:14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187-76</f>
        <v>111</v>
      </c>
      <c r="H97" s="186">
        <f>280+99</f>
        <v>379</v>
      </c>
      <c r="I97" s="32"/>
      <c r="J97" s="33">
        <v>1075</v>
      </c>
      <c r="K97" s="33">
        <v>187</v>
      </c>
      <c r="L97" s="34">
        <f t="shared" si="7"/>
        <v>-76</v>
      </c>
      <c r="N97" s="32"/>
    </row>
    <row r="98" spans="1:14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9061-675</f>
        <v>8386</v>
      </c>
      <c r="H98" s="186">
        <f>12119+3353</f>
        <v>15472</v>
      </c>
      <c r="I98" s="32"/>
      <c r="J98" s="33">
        <v>1076</v>
      </c>
      <c r="K98" s="33">
        <v>9061</v>
      </c>
      <c r="L98" s="34">
        <f t="shared" si="7"/>
        <v>-675</v>
      </c>
      <c r="N98" s="32"/>
    </row>
    <row r="99" spans="1:14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f t="shared" ref="G99" si="9">K99</f>
        <v>0</v>
      </c>
      <c r="H99" s="186">
        <v>3452</v>
      </c>
      <c r="I99" s="32"/>
      <c r="J99" s="33">
        <v>1077</v>
      </c>
      <c r="K99" s="33">
        <v>0</v>
      </c>
      <c r="L99" s="34">
        <f t="shared" si="7"/>
        <v>0</v>
      </c>
      <c r="N99" s="32"/>
    </row>
    <row r="100" spans="1:14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v>751</v>
      </c>
      <c r="H100" s="186">
        <v>0</v>
      </c>
      <c r="I100" s="32"/>
      <c r="J100" s="33">
        <v>1078</v>
      </c>
      <c r="K100" s="33">
        <v>0</v>
      </c>
      <c r="L100" s="34">
        <f t="shared" si="7"/>
        <v>751</v>
      </c>
      <c r="N100" s="32"/>
    </row>
    <row r="101" spans="1:14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6093</v>
      </c>
      <c r="H101" s="185">
        <f>H102+H103+H104+H105</f>
        <v>13210</v>
      </c>
      <c r="I101" s="32"/>
      <c r="J101" s="33">
        <v>1079</v>
      </c>
      <c r="K101" s="33">
        <v>6093</v>
      </c>
      <c r="L101" s="34">
        <f t="shared" si="7"/>
        <v>0</v>
      </c>
      <c r="N101" s="32"/>
    </row>
    <row r="102" spans="1:14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189">
        <f>K102</f>
        <v>1393</v>
      </c>
      <c r="H102" s="186">
        <v>2399</v>
      </c>
      <c r="I102" s="32"/>
      <c r="J102" s="33">
        <v>1080</v>
      </c>
      <c r="K102" s="33">
        <v>1393</v>
      </c>
      <c r="L102" s="34">
        <f t="shared" si="7"/>
        <v>0</v>
      </c>
      <c r="N102" s="32"/>
    </row>
    <row r="103" spans="1:14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189">
        <f t="shared" ref="G103:G107" si="10">K103</f>
        <v>1386</v>
      </c>
      <c r="H103" s="186">
        <v>2526</v>
      </c>
      <c r="I103" s="32"/>
      <c r="J103" s="33">
        <v>1081</v>
      </c>
      <c r="K103" s="33">
        <v>1386</v>
      </c>
      <c r="L103" s="34">
        <f t="shared" si="7"/>
        <v>0</v>
      </c>
      <c r="N103" s="32"/>
    </row>
    <row r="104" spans="1:14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189">
        <f t="shared" si="10"/>
        <v>2896</v>
      </c>
      <c r="H104" s="186">
        <v>7115</v>
      </c>
      <c r="I104" s="32"/>
      <c r="J104" s="33">
        <v>1082</v>
      </c>
      <c r="K104" s="33">
        <v>2896</v>
      </c>
      <c r="L104" s="34">
        <f t="shared" si="7"/>
        <v>0</v>
      </c>
      <c r="N104" s="32"/>
    </row>
    <row r="105" spans="1:14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189">
        <f t="shared" si="10"/>
        <v>418</v>
      </c>
      <c r="H105" s="186">
        <v>1170</v>
      </c>
      <c r="I105" s="32"/>
      <c r="J105" s="33">
        <v>1083</v>
      </c>
      <c r="K105" s="33">
        <v>418</v>
      </c>
      <c r="L105" s="34">
        <f t="shared" si="7"/>
        <v>0</v>
      </c>
      <c r="N105" s="32"/>
    </row>
    <row r="106" spans="1:14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3">
        <f>K106</f>
        <v>413</v>
      </c>
      <c r="H106" s="185">
        <v>620</v>
      </c>
      <c r="I106" s="32"/>
      <c r="J106" s="33">
        <v>1084</v>
      </c>
      <c r="K106" s="33">
        <v>413</v>
      </c>
      <c r="L106" s="34">
        <f t="shared" si="7"/>
        <v>0</v>
      </c>
      <c r="N106" s="32"/>
    </row>
    <row r="107" spans="1:14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3">
        <f t="shared" si="10"/>
        <v>1833</v>
      </c>
      <c r="H107" s="185">
        <v>1070</v>
      </c>
      <c r="I107" s="32"/>
      <c r="J107" s="33">
        <v>1085</v>
      </c>
      <c r="K107" s="33">
        <v>1833</v>
      </c>
      <c r="L107" s="34">
        <f t="shared" si="7"/>
        <v>0</v>
      </c>
      <c r="N107" s="32"/>
    </row>
    <row r="108" spans="1:14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2732</v>
      </c>
      <c r="H108" s="188">
        <f>IF((H70+H93-H71-H94-H95)&gt;0,(H70+H93-H71-H94-H95),0)</f>
        <v>0</v>
      </c>
      <c r="I108" s="32"/>
      <c r="J108" s="33">
        <v>1086</v>
      </c>
      <c r="K108" s="33">
        <v>0</v>
      </c>
      <c r="L108" s="34">
        <f t="shared" si="7"/>
        <v>2732</v>
      </c>
      <c r="N108" s="32"/>
    </row>
    <row r="109" spans="1:14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0</v>
      </c>
      <c r="H109" s="188">
        <f>IF((H70+H93-H71-H94-H95)&lt;0,-(H70+H93-H71-H94-H95),0)</f>
        <v>16988</v>
      </c>
      <c r="I109" s="32"/>
      <c r="J109" s="33">
        <v>1087</v>
      </c>
      <c r="K109" s="33">
        <v>20277</v>
      </c>
      <c r="L109" s="34">
        <f t="shared" si="7"/>
        <v>-20277</v>
      </c>
      <c r="N109" s="32"/>
    </row>
    <row r="110" spans="1:14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3">
        <f>K110</f>
        <v>5043</v>
      </c>
      <c r="H110" s="185">
        <v>2590</v>
      </c>
      <c r="I110" s="32"/>
      <c r="J110" s="33">
        <v>1088</v>
      </c>
      <c r="K110" s="33">
        <v>5043</v>
      </c>
      <c r="L110" s="34">
        <f t="shared" si="7"/>
        <v>0</v>
      </c>
      <c r="N110" s="32"/>
    </row>
    <row r="111" spans="1:14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3">
        <f t="shared" ref="G111:G113" si="11">K111</f>
        <v>840</v>
      </c>
      <c r="H111" s="185">
        <v>3228</v>
      </c>
      <c r="I111" s="32"/>
      <c r="J111" s="33">
        <v>1089</v>
      </c>
      <c r="K111" s="33">
        <v>840</v>
      </c>
      <c r="L111" s="34">
        <f t="shared" si="7"/>
        <v>0</v>
      </c>
      <c r="N111" s="32"/>
    </row>
    <row r="112" spans="1:14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3">
        <f t="shared" si="11"/>
        <v>14779</v>
      </c>
      <c r="H112" s="185">
        <v>1885</v>
      </c>
      <c r="I112" s="32"/>
      <c r="J112" s="33">
        <v>1090</v>
      </c>
      <c r="K112" s="33">
        <v>14779</v>
      </c>
      <c r="L112" s="34">
        <f t="shared" si="7"/>
        <v>0</v>
      </c>
      <c r="N112" s="32"/>
    </row>
    <row r="113" spans="1:14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3">
        <f t="shared" si="11"/>
        <v>2952</v>
      </c>
      <c r="H113" s="185">
        <v>23805</v>
      </c>
      <c r="I113" s="32"/>
      <c r="J113" s="33">
        <v>1091</v>
      </c>
      <c r="K113" s="33">
        <v>2952</v>
      </c>
      <c r="L113" s="34">
        <f t="shared" si="7"/>
        <v>0</v>
      </c>
      <c r="N113" s="32"/>
    </row>
    <row r="114" spans="1:14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3">
        <f>K114</f>
        <v>270</v>
      </c>
      <c r="H114" s="185">
        <v>530</v>
      </c>
      <c r="I114" s="32"/>
      <c r="J114" s="33">
        <v>1092</v>
      </c>
      <c r="K114" s="33">
        <v>270</v>
      </c>
      <c r="L114" s="34">
        <f t="shared" si="7"/>
        <v>0</v>
      </c>
      <c r="N114" s="32"/>
    </row>
    <row r="115" spans="1:14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3">
        <f>K115</f>
        <v>1037</v>
      </c>
      <c r="H115" s="185">
        <f>229+2</f>
        <v>231</v>
      </c>
      <c r="I115" s="32"/>
      <c r="J115" s="33">
        <v>1093</v>
      </c>
      <c r="K115" s="33">
        <v>1037</v>
      </c>
      <c r="L115" s="34">
        <f t="shared" si="7"/>
        <v>0</v>
      </c>
      <c r="N115" s="32"/>
    </row>
    <row r="116" spans="1:14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17995</v>
      </c>
      <c r="H116" s="188">
        <f>IF((H108+H110+H112+H114-H109-H111-H113-H115)&gt;0,(H108+H110+H112+H114-H109-H111-H113-H115),0)</f>
        <v>0</v>
      </c>
      <c r="I116" s="32"/>
      <c r="J116" s="33">
        <v>1094</v>
      </c>
      <c r="K116" s="33">
        <v>0</v>
      </c>
      <c r="L116" s="34">
        <f t="shared" si="7"/>
        <v>17995</v>
      </c>
      <c r="N116" s="32"/>
    </row>
    <row r="117" spans="1:14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0</v>
      </c>
      <c r="H117" s="184">
        <f>IF((H108+H110+H112+H114-H109-H111-H113-H115)&lt;0,-(H108+H110+H112+H114-H109-H111-H113-H115),0)</f>
        <v>39247</v>
      </c>
      <c r="I117" s="32"/>
      <c r="J117" s="33">
        <v>1095</v>
      </c>
      <c r="K117" s="33">
        <v>5015</v>
      </c>
      <c r="L117" s="34">
        <f t="shared" si="7"/>
        <v>-5015</v>
      </c>
      <c r="N117" s="32"/>
    </row>
    <row r="118" spans="1:14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3">
        <f>K118</f>
        <v>0</v>
      </c>
      <c r="H118" s="185">
        <v>0</v>
      </c>
      <c r="I118" s="32"/>
      <c r="J118" s="33">
        <v>1096</v>
      </c>
      <c r="K118" s="33">
        <v>0</v>
      </c>
      <c r="L118" s="34">
        <f t="shared" si="7"/>
        <v>0</v>
      </c>
      <c r="N118" s="32"/>
    </row>
    <row r="119" spans="1:14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3">
        <f>K119</f>
        <v>3</v>
      </c>
      <c r="H119" s="185">
        <f>244-244</f>
        <v>0</v>
      </c>
      <c r="I119" s="32"/>
      <c r="J119" s="33">
        <v>1097</v>
      </c>
      <c r="K119" s="33">
        <v>3</v>
      </c>
      <c r="L119" s="34">
        <f t="shared" si="7"/>
        <v>0</v>
      </c>
      <c r="N119" s="32"/>
    </row>
    <row r="120" spans="1:14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3">
        <f>IF((G116+G118-G117-G119)&gt;0,(G116+G118-G117-G119),0)</f>
        <v>17992</v>
      </c>
      <c r="H120" s="185">
        <v>0</v>
      </c>
      <c r="I120" s="32"/>
      <c r="J120" s="33">
        <v>1098</v>
      </c>
      <c r="K120" s="33">
        <v>0</v>
      </c>
      <c r="L120" s="34">
        <f t="shared" si="7"/>
        <v>17992</v>
      </c>
      <c r="N120" s="32"/>
    </row>
    <row r="121" spans="1:14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3">
        <f>IF((G116+G118-G117-G119)&lt;0,-(G116+G118-G117-G119),0)</f>
        <v>0</v>
      </c>
      <c r="H121" s="185">
        <f>IF((H116+H118-H117-H119)&lt;0,-(H116+H118-H117-H119),0)</f>
        <v>39247</v>
      </c>
      <c r="I121" s="32"/>
      <c r="J121" s="33">
        <v>1099</v>
      </c>
      <c r="K121" s="33">
        <v>5018</v>
      </c>
      <c r="L121" s="34">
        <f t="shared" si="7"/>
        <v>-5018</v>
      </c>
      <c r="N121" s="32"/>
    </row>
    <row r="122" spans="1:14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189"/>
      <c r="H122" s="186"/>
      <c r="I122" s="32"/>
      <c r="J122" s="43"/>
      <c r="K122" s="43"/>
      <c r="L122" s="45">
        <f t="shared" si="7"/>
        <v>0</v>
      </c>
      <c r="N122" s="32"/>
    </row>
    <row r="123" spans="1:14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189">
        <f t="shared" ref="G123:G125" si="12">K123</f>
        <v>0</v>
      </c>
      <c r="H123" s="186">
        <v>0</v>
      </c>
      <c r="I123" s="32"/>
      <c r="J123" s="33">
        <v>1100</v>
      </c>
      <c r="K123" s="33">
        <v>0</v>
      </c>
      <c r="L123" s="34">
        <f t="shared" si="7"/>
        <v>0</v>
      </c>
      <c r="N123" s="32"/>
    </row>
    <row r="124" spans="1:14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189">
        <f t="shared" si="12"/>
        <v>0</v>
      </c>
      <c r="H124" s="186">
        <v>0</v>
      </c>
      <c r="I124" s="32"/>
      <c r="J124" s="33">
        <v>1101</v>
      </c>
      <c r="K124" s="33">
        <v>0</v>
      </c>
      <c r="L124" s="34">
        <f t="shared" si="7"/>
        <v>0</v>
      </c>
      <c r="N124" s="32"/>
    </row>
    <row r="125" spans="1:14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189">
        <f t="shared" si="12"/>
        <v>0</v>
      </c>
      <c r="H125" s="186">
        <v>0</v>
      </c>
      <c r="I125" s="32"/>
      <c r="J125" s="33">
        <v>1102</v>
      </c>
      <c r="K125" s="33">
        <v>0</v>
      </c>
      <c r="L125" s="34">
        <f t="shared" si="7"/>
        <v>0</v>
      </c>
      <c r="N125" s="32"/>
    </row>
    <row r="126" spans="1:14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191">
        <f>IF((G120-G121-G123+G124-G125)&gt;0,G120-G121-G123+G124-G125,"0")</f>
        <v>17992</v>
      </c>
      <c r="H126" s="188" t="s">
        <v>330</v>
      </c>
      <c r="I126" s="32"/>
      <c r="J126" s="33">
        <v>1103</v>
      </c>
      <c r="K126" s="33">
        <v>0</v>
      </c>
      <c r="L126" s="34">
        <f t="shared" si="7"/>
        <v>17992</v>
      </c>
      <c r="N126" s="32"/>
    </row>
    <row r="127" spans="1:14">
      <c r="A127" s="29"/>
      <c r="B127" s="27"/>
      <c r="C127" s="27"/>
      <c r="D127" s="53" t="s">
        <v>272</v>
      </c>
      <c r="E127" s="29" t="s">
        <v>284</v>
      </c>
      <c r="F127" s="30"/>
      <c r="G127" s="41"/>
      <c r="H127" s="184"/>
      <c r="I127" s="32"/>
      <c r="J127" s="33">
        <v>1104</v>
      </c>
      <c r="K127" s="33">
        <v>0</v>
      </c>
      <c r="L127" s="34">
        <f t="shared" si="7"/>
        <v>0</v>
      </c>
      <c r="N127" s="32"/>
    </row>
    <row r="128" spans="1:14">
      <c r="A128" s="29"/>
      <c r="B128" s="27"/>
      <c r="C128" s="27"/>
      <c r="D128" s="53" t="s">
        <v>273</v>
      </c>
      <c r="E128" s="29" t="s">
        <v>285</v>
      </c>
      <c r="F128" s="30"/>
      <c r="G128" s="41"/>
      <c r="H128" s="184"/>
      <c r="I128" s="32"/>
      <c r="J128" s="33">
        <v>1105</v>
      </c>
      <c r="K128" s="33">
        <v>0</v>
      </c>
      <c r="L128" s="34">
        <f t="shared" si="7"/>
        <v>0</v>
      </c>
      <c r="N128" s="32"/>
    </row>
    <row r="129" spans="1:15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 t="str">
        <f>IF((G120-G121-G123+G124-G125)&lt;0,-(G120-G121-G123+G124-G125),"0")</f>
        <v>0</v>
      </c>
      <c r="H129" s="188">
        <f>IF((H120-H121-H123+H124-H125)&lt;0,-(H120-H121-H123+H124-H125),"0")</f>
        <v>39247</v>
      </c>
      <c r="I129" s="32"/>
      <c r="J129" s="33">
        <v>1106</v>
      </c>
      <c r="K129" s="33">
        <v>5018</v>
      </c>
      <c r="L129" s="34">
        <f t="shared" si="7"/>
        <v>-5018</v>
      </c>
      <c r="N129" s="32"/>
      <c r="O129" s="188">
        <v>39247</v>
      </c>
    </row>
    <row r="130" spans="1:15">
      <c r="A130" s="29"/>
      <c r="B130" s="27"/>
      <c r="C130" s="27"/>
      <c r="D130" s="39" t="s">
        <v>274</v>
      </c>
      <c r="E130" s="29" t="s">
        <v>287</v>
      </c>
      <c r="F130" s="30"/>
      <c r="G130" s="189">
        <v>0</v>
      </c>
      <c r="H130" s="186">
        <v>0</v>
      </c>
      <c r="I130" s="32"/>
      <c r="J130" s="33">
        <v>1107</v>
      </c>
      <c r="K130" s="33">
        <v>0</v>
      </c>
      <c r="L130" s="34">
        <f t="shared" si="7"/>
        <v>0</v>
      </c>
      <c r="N130" s="32"/>
      <c r="O130" s="188">
        <v>17992</v>
      </c>
    </row>
    <row r="131" spans="1:15">
      <c r="A131" s="29"/>
      <c r="B131" s="27"/>
      <c r="C131" s="27"/>
      <c r="D131" s="39" t="s">
        <v>275</v>
      </c>
      <c r="E131" s="29" t="s">
        <v>288</v>
      </c>
      <c r="F131" s="30"/>
      <c r="G131" s="189">
        <v>0</v>
      </c>
      <c r="H131" s="186">
        <v>0</v>
      </c>
      <c r="I131" s="32"/>
      <c r="J131" s="33">
        <v>1108</v>
      </c>
      <c r="K131" s="33">
        <v>0</v>
      </c>
      <c r="L131" s="34">
        <f t="shared" si="7"/>
        <v>0</v>
      </c>
      <c r="N131" s="32"/>
    </row>
    <row r="132" spans="1:15">
      <c r="A132" s="29"/>
      <c r="B132" s="27" t="s">
        <v>93</v>
      </c>
      <c r="C132" s="27"/>
      <c r="D132" s="28" t="s">
        <v>94</v>
      </c>
      <c r="E132" s="29"/>
      <c r="F132" s="30"/>
      <c r="G132" s="189">
        <v>0</v>
      </c>
      <c r="H132" s="186">
        <v>0</v>
      </c>
      <c r="I132" s="32"/>
      <c r="J132" s="33">
        <v>1109</v>
      </c>
      <c r="K132" s="33">
        <v>0</v>
      </c>
      <c r="L132" s="34">
        <f t="shared" si="7"/>
        <v>0</v>
      </c>
      <c r="N132" s="32"/>
    </row>
    <row r="133" spans="1:15">
      <c r="A133" s="29"/>
      <c r="B133" s="27"/>
      <c r="C133" s="27"/>
      <c r="D133" s="39" t="s">
        <v>276</v>
      </c>
      <c r="E133" s="29" t="s">
        <v>289</v>
      </c>
      <c r="F133" s="30"/>
      <c r="G133" s="189">
        <v>0</v>
      </c>
      <c r="H133" s="186">
        <v>0</v>
      </c>
      <c r="I133" s="32"/>
      <c r="J133" s="33">
        <v>1110</v>
      </c>
      <c r="K133" s="33">
        <v>0</v>
      </c>
      <c r="L133" s="34">
        <f t="shared" si="7"/>
        <v>0</v>
      </c>
      <c r="N133" s="32"/>
    </row>
    <row r="134" spans="1:15" ht="25.5">
      <c r="A134" s="29"/>
      <c r="B134" s="27"/>
      <c r="C134" s="27"/>
      <c r="D134" s="39" t="s">
        <v>277</v>
      </c>
      <c r="E134" s="29" t="s">
        <v>290</v>
      </c>
      <c r="F134" s="30"/>
      <c r="G134" s="189">
        <v>0</v>
      </c>
      <c r="H134" s="186">
        <v>0</v>
      </c>
      <c r="I134" s="32"/>
      <c r="J134" s="33">
        <v>1111</v>
      </c>
      <c r="K134" s="33">
        <v>0</v>
      </c>
      <c r="L134" s="34">
        <f t="shared" si="7"/>
        <v>0</v>
      </c>
      <c r="N134" s="32"/>
    </row>
    <row r="135" spans="1:15" ht="13.5" customHeight="1">
      <c r="H135" s="232"/>
      <c r="J135" s="33"/>
      <c r="K135" s="57"/>
      <c r="N135" s="32"/>
    </row>
    <row r="136" spans="1:15">
      <c r="N136" s="32"/>
    </row>
    <row r="137" spans="1:15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N137" s="32"/>
    </row>
    <row r="138" spans="1:15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N138" s="32"/>
    </row>
    <row r="139" spans="1:15">
      <c r="A139" s="1"/>
      <c r="B139" s="2"/>
      <c r="C139" s="58"/>
      <c r="D139" s="59"/>
      <c r="E139" s="60"/>
      <c r="F139" s="60"/>
      <c r="G139" s="61"/>
      <c r="H139" s="233"/>
      <c r="N139" s="32"/>
    </row>
    <row r="140" spans="1:15">
      <c r="A140" s="62"/>
      <c r="B140" s="63"/>
      <c r="C140" s="64"/>
      <c r="D140" s="64"/>
      <c r="E140" s="64"/>
      <c r="F140" s="64"/>
      <c r="G140" s="65"/>
      <c r="H140" s="234"/>
      <c r="N140" s="32"/>
    </row>
    <row r="141" spans="1:15">
      <c r="A141" s="1"/>
      <c r="B141" s="2"/>
      <c r="C141" s="58"/>
      <c r="D141" s="59"/>
      <c r="E141" s="60"/>
      <c r="F141" s="60"/>
      <c r="G141" s="66"/>
      <c r="H141" s="235"/>
      <c r="N141" s="32"/>
    </row>
    <row r="142" spans="1:15">
      <c r="A142" s="1"/>
      <c r="B142" s="2"/>
      <c r="C142" s="58"/>
      <c r="D142" s="59"/>
      <c r="E142" s="60"/>
      <c r="F142" s="60"/>
      <c r="G142" s="61"/>
      <c r="H142" s="233"/>
      <c r="N142" s="32"/>
    </row>
    <row r="143" spans="1:15">
      <c r="A143" s="1"/>
      <c r="B143" s="2"/>
      <c r="C143" s="58"/>
      <c r="D143" s="59"/>
      <c r="E143" s="60"/>
      <c r="F143" s="60"/>
      <c r="G143" s="61"/>
      <c r="H143" s="233"/>
      <c r="N143" s="32"/>
    </row>
    <row r="144" spans="1:15">
      <c r="A144" s="1"/>
      <c r="B144" s="2"/>
      <c r="C144" s="58"/>
      <c r="D144" s="59"/>
      <c r="E144" s="60"/>
      <c r="F144" s="60"/>
      <c r="G144" s="61"/>
      <c r="H144" s="233"/>
      <c r="N144" s="32"/>
    </row>
    <row r="145" spans="1:14">
      <c r="A145" s="1"/>
      <c r="B145" s="2"/>
      <c r="C145" s="58"/>
      <c r="D145" s="59"/>
      <c r="E145" s="60"/>
      <c r="F145" s="60"/>
      <c r="G145" s="61"/>
      <c r="H145" s="233"/>
      <c r="N145" s="32"/>
    </row>
    <row r="146" spans="1:14">
      <c r="A146" s="1"/>
      <c r="B146" s="2"/>
      <c r="C146" s="58"/>
      <c r="D146" s="59"/>
      <c r="E146" s="60"/>
      <c r="F146" s="60"/>
      <c r="G146" s="61"/>
      <c r="H146" s="233"/>
      <c r="N146" s="32"/>
    </row>
    <row r="147" spans="1:14">
      <c r="A147" s="1"/>
      <c r="B147" s="2"/>
      <c r="C147" s="58"/>
      <c r="D147" s="59"/>
      <c r="E147" s="60"/>
      <c r="F147" s="60"/>
      <c r="G147" s="61"/>
      <c r="H147" s="233"/>
      <c r="N147" s="32"/>
    </row>
    <row r="148" spans="1:14">
      <c r="A148" s="1"/>
      <c r="B148" s="2"/>
      <c r="C148" s="58"/>
      <c r="D148" s="59"/>
      <c r="E148" s="60"/>
      <c r="F148" s="60"/>
      <c r="G148" s="67"/>
      <c r="H148" s="233"/>
      <c r="N148" s="32"/>
    </row>
    <row r="149" spans="1:14">
      <c r="A149" s="1"/>
      <c r="B149" s="2"/>
      <c r="C149" s="58"/>
      <c r="D149" s="59"/>
      <c r="E149" s="60"/>
      <c r="F149" s="60"/>
      <c r="G149" s="61"/>
      <c r="H149" s="233"/>
      <c r="N149" s="32"/>
    </row>
    <row r="150" spans="1:14">
      <c r="A150" s="1"/>
      <c r="B150" s="2"/>
      <c r="C150" s="58"/>
      <c r="D150" s="59"/>
      <c r="E150" s="60"/>
      <c r="F150" s="60"/>
      <c r="G150" s="61"/>
      <c r="H150" s="233"/>
      <c r="N150" s="32"/>
    </row>
    <row r="151" spans="1:14">
      <c r="A151" s="1"/>
      <c r="B151" s="2"/>
      <c r="C151" s="58"/>
      <c r="D151" s="59"/>
      <c r="E151" s="60"/>
      <c r="F151" s="60"/>
      <c r="G151" s="61"/>
      <c r="H151" s="233"/>
      <c r="N151" s="32"/>
    </row>
    <row r="152" spans="1:14">
      <c r="A152" s="1"/>
      <c r="B152" s="2"/>
      <c r="C152" s="58"/>
      <c r="D152" s="59"/>
      <c r="E152" s="60"/>
      <c r="F152" s="60"/>
      <c r="G152" s="61"/>
      <c r="H152" s="233"/>
      <c r="N152" s="32"/>
    </row>
    <row r="153" spans="1:14">
      <c r="A153" s="1"/>
      <c r="B153" s="2"/>
      <c r="C153" s="58"/>
      <c r="D153" s="59"/>
      <c r="E153" s="60"/>
      <c r="F153" s="60"/>
      <c r="G153" s="61"/>
      <c r="H153" s="233"/>
      <c r="N153" s="32"/>
    </row>
    <row r="154" spans="1:14">
      <c r="A154" s="1"/>
      <c r="B154" s="2"/>
      <c r="C154" s="58"/>
      <c r="D154" s="59"/>
      <c r="E154" s="60"/>
      <c r="F154" s="60"/>
      <c r="G154" s="61"/>
      <c r="H154" s="233"/>
      <c r="N154" s="32"/>
    </row>
    <row r="155" spans="1:14">
      <c r="A155" s="1"/>
      <c r="B155" s="2"/>
      <c r="C155" s="58"/>
      <c r="D155" s="59"/>
      <c r="E155" s="60"/>
      <c r="F155" s="60"/>
      <c r="G155" s="61"/>
      <c r="H155" s="233"/>
      <c r="N155" s="32"/>
    </row>
    <row r="156" spans="1:14">
      <c r="A156" s="1"/>
      <c r="B156" s="2"/>
      <c r="C156" s="58"/>
      <c r="D156" s="59"/>
      <c r="E156" s="60"/>
      <c r="F156" s="60"/>
      <c r="G156" s="61"/>
      <c r="H156" s="233"/>
      <c r="N156" s="32"/>
    </row>
    <row r="157" spans="1:14">
      <c r="A157" s="1"/>
      <c r="B157" s="2"/>
      <c r="C157" s="58"/>
      <c r="D157" s="59"/>
      <c r="E157" s="60"/>
      <c r="F157" s="60"/>
      <c r="G157" s="61"/>
      <c r="H157" s="233"/>
      <c r="N157" s="32"/>
    </row>
    <row r="158" spans="1:14">
      <c r="A158" s="1"/>
      <c r="B158" s="2"/>
      <c r="C158" s="58"/>
      <c r="D158" s="59"/>
      <c r="E158" s="60"/>
      <c r="F158" s="60"/>
      <c r="G158" s="61"/>
      <c r="H158" s="233"/>
      <c r="N158" s="32"/>
    </row>
    <row r="159" spans="1:14">
      <c r="A159" s="1"/>
      <c r="B159" s="2"/>
      <c r="C159" s="58"/>
      <c r="D159" s="59"/>
      <c r="E159" s="60"/>
      <c r="F159" s="60"/>
      <c r="G159" s="61"/>
      <c r="H159" s="233"/>
      <c r="N159" s="32"/>
    </row>
    <row r="160" spans="1:14">
      <c r="A160" s="1"/>
      <c r="B160" s="2"/>
      <c r="C160" s="58"/>
      <c r="D160" s="59"/>
      <c r="E160" s="60"/>
      <c r="F160" s="60"/>
      <c r="G160" s="61"/>
      <c r="H160" s="233"/>
      <c r="N160" s="32"/>
    </row>
    <row r="161" spans="1:14">
      <c r="A161" s="1"/>
      <c r="B161" s="2"/>
      <c r="C161" s="58"/>
      <c r="D161" s="59"/>
      <c r="E161" s="60"/>
      <c r="F161" s="60"/>
      <c r="G161" s="61"/>
      <c r="H161" s="233"/>
      <c r="N161" s="32"/>
    </row>
    <row r="162" spans="1:14">
      <c r="A162" s="1"/>
      <c r="B162" s="2"/>
      <c r="C162" s="58"/>
      <c r="D162" s="59"/>
      <c r="E162" s="60"/>
      <c r="F162" s="60"/>
      <c r="G162" s="61"/>
      <c r="H162" s="233"/>
      <c r="N162" s="32"/>
    </row>
    <row r="163" spans="1:14">
      <c r="A163" s="1"/>
      <c r="B163" s="2"/>
      <c r="C163" s="58"/>
      <c r="D163" s="59"/>
      <c r="E163" s="60"/>
      <c r="F163" s="60"/>
      <c r="G163" s="61"/>
      <c r="H163" s="233"/>
      <c r="N163" s="32"/>
    </row>
    <row r="164" spans="1:14">
      <c r="A164" s="1"/>
      <c r="B164" s="2"/>
      <c r="C164" s="58"/>
      <c r="D164" s="59"/>
      <c r="E164" s="60"/>
      <c r="F164" s="60"/>
      <c r="G164" s="61"/>
      <c r="H164" s="233"/>
      <c r="N164" s="32"/>
    </row>
    <row r="165" spans="1:14">
      <c r="A165" s="1"/>
      <c r="B165" s="2"/>
      <c r="C165" s="58"/>
      <c r="D165" s="59"/>
      <c r="E165" s="60"/>
      <c r="F165" s="60"/>
      <c r="G165" s="61"/>
      <c r="H165" s="233"/>
      <c r="N165" s="32"/>
    </row>
    <row r="166" spans="1:14">
      <c r="A166" s="1"/>
      <c r="B166" s="2"/>
      <c r="C166" s="3"/>
      <c r="D166" s="68"/>
      <c r="E166" s="4"/>
      <c r="F166" s="4"/>
      <c r="N166" s="32"/>
    </row>
    <row r="167" spans="1:14">
      <c r="A167" s="1"/>
      <c r="B167" s="2"/>
      <c r="C167" s="3"/>
      <c r="D167" s="68"/>
      <c r="E167" s="4"/>
      <c r="F167" s="4"/>
      <c r="N167" s="32"/>
    </row>
    <row r="168" spans="1:14">
      <c r="A168" s="1"/>
      <c r="B168" s="2"/>
      <c r="C168" s="3"/>
      <c r="D168" s="68"/>
      <c r="E168" s="4"/>
      <c r="F168" s="4"/>
      <c r="N168" s="32"/>
    </row>
    <row r="169" spans="1:14">
      <c r="A169" s="1"/>
      <c r="B169" s="2"/>
      <c r="C169" s="3"/>
      <c r="D169" s="68"/>
      <c r="E169" s="4"/>
      <c r="F169" s="4"/>
      <c r="N169" s="32"/>
    </row>
    <row r="170" spans="1:14">
      <c r="A170" s="1"/>
      <c r="B170" s="2"/>
      <c r="C170" s="3"/>
      <c r="D170" s="68"/>
      <c r="E170" s="4"/>
      <c r="F170" s="4"/>
      <c r="N170" s="32"/>
    </row>
    <row r="171" spans="1:14">
      <c r="A171" s="1"/>
      <c r="B171" s="2"/>
      <c r="C171" s="3"/>
      <c r="D171" s="68"/>
      <c r="E171" s="4"/>
      <c r="F171" s="4"/>
      <c r="N171" s="32"/>
    </row>
    <row r="172" spans="1:14">
      <c r="A172" s="1"/>
      <c r="B172" s="2"/>
      <c r="C172" s="3"/>
      <c r="D172" s="68"/>
      <c r="E172" s="4"/>
      <c r="F172" s="4"/>
      <c r="N172" s="32"/>
    </row>
    <row r="173" spans="1:14">
      <c r="A173" s="1"/>
      <c r="B173" s="2"/>
      <c r="C173" s="3"/>
      <c r="D173" s="68"/>
      <c r="E173" s="4"/>
      <c r="F173" s="4"/>
      <c r="N173" s="32"/>
    </row>
    <row r="174" spans="1:14">
      <c r="A174" s="1"/>
      <c r="B174" s="2"/>
      <c r="C174" s="3"/>
      <c r="D174" s="68"/>
      <c r="E174" s="4"/>
      <c r="F174" s="4"/>
      <c r="N174" s="32"/>
    </row>
    <row r="175" spans="1:14">
      <c r="A175" s="1"/>
      <c r="B175" s="2"/>
      <c r="C175" s="3"/>
      <c r="D175" s="68"/>
      <c r="E175" s="4"/>
      <c r="F175" s="4"/>
      <c r="N175" s="32"/>
    </row>
    <row r="176" spans="1:14">
      <c r="A176" s="1"/>
      <c r="B176" s="2"/>
      <c r="C176" s="3"/>
      <c r="D176" s="68"/>
      <c r="E176" s="4"/>
      <c r="F176" s="4"/>
      <c r="N176" s="32"/>
    </row>
    <row r="177" spans="1:14">
      <c r="A177" s="1"/>
      <c r="B177" s="2"/>
      <c r="C177" s="3"/>
      <c r="D177" s="68"/>
      <c r="E177" s="4"/>
      <c r="F177" s="4"/>
      <c r="N177" s="32"/>
    </row>
    <row r="178" spans="1:14">
      <c r="A178" s="1"/>
      <c r="B178" s="2"/>
      <c r="C178" s="3"/>
      <c r="D178" s="68"/>
      <c r="E178" s="4"/>
      <c r="F178" s="4"/>
      <c r="N178" s="32"/>
    </row>
    <row r="179" spans="1:14">
      <c r="A179" s="1"/>
      <c r="B179" s="2"/>
      <c r="C179" s="3"/>
      <c r="D179" s="68"/>
      <c r="E179" s="4"/>
      <c r="F179" s="4"/>
      <c r="N179" s="32"/>
    </row>
    <row r="180" spans="1:14">
      <c r="A180" s="1"/>
      <c r="B180" s="2"/>
      <c r="C180" s="3"/>
      <c r="D180" s="68"/>
      <c r="E180" s="4"/>
      <c r="F180" s="4"/>
      <c r="N180" s="32"/>
    </row>
    <row r="181" spans="1:14">
      <c r="A181" s="1"/>
      <c r="B181" s="2"/>
      <c r="C181" s="3"/>
      <c r="D181" s="68"/>
      <c r="E181" s="4"/>
      <c r="F181" s="4"/>
      <c r="N181" s="32"/>
    </row>
    <row r="182" spans="1:14">
      <c r="A182" s="1"/>
      <c r="B182" s="2"/>
      <c r="C182" s="3"/>
      <c r="D182" s="68"/>
      <c r="E182" s="4"/>
      <c r="F182" s="4"/>
      <c r="N182" s="32"/>
    </row>
    <row r="183" spans="1:14">
      <c r="A183" s="1"/>
      <c r="B183" s="2"/>
      <c r="C183" s="3"/>
      <c r="D183" s="68"/>
      <c r="E183" s="4"/>
      <c r="F183" s="4"/>
      <c r="N183" s="32"/>
    </row>
    <row r="184" spans="1:14">
      <c r="A184" s="1"/>
      <c r="B184" s="2"/>
      <c r="C184" s="3"/>
      <c r="D184" s="68"/>
      <c r="E184" s="4"/>
      <c r="F184" s="4"/>
      <c r="N184" s="32"/>
    </row>
    <row r="185" spans="1:14">
      <c r="A185" s="1"/>
      <c r="B185" s="2"/>
      <c r="C185" s="3"/>
      <c r="D185" s="68"/>
      <c r="E185" s="4"/>
      <c r="F185" s="4"/>
      <c r="N185" s="32"/>
    </row>
    <row r="186" spans="1:14">
      <c r="A186" s="1"/>
      <c r="B186" s="2"/>
      <c r="C186" s="3"/>
      <c r="D186" s="68"/>
      <c r="E186" s="4"/>
      <c r="F186" s="4"/>
      <c r="N186" s="32"/>
    </row>
    <row r="187" spans="1:14">
      <c r="A187" s="1"/>
      <c r="B187" s="2"/>
      <c r="C187" s="3"/>
      <c r="D187" s="68"/>
      <c r="E187" s="4"/>
      <c r="F187" s="4"/>
      <c r="N187" s="32"/>
    </row>
    <row r="188" spans="1:14">
      <c r="A188" s="1"/>
      <c r="B188" s="2"/>
      <c r="C188" s="3"/>
      <c r="D188" s="68"/>
      <c r="E188" s="4"/>
      <c r="F188" s="4"/>
    </row>
    <row r="189" spans="1:14">
      <c r="A189" s="1"/>
      <c r="B189" s="2"/>
      <c r="C189" s="3"/>
      <c r="D189" s="68"/>
      <c r="E189" s="4"/>
      <c r="F189" s="4"/>
    </row>
    <row r="190" spans="1:14">
      <c r="A190" s="1"/>
      <c r="B190" s="2"/>
      <c r="C190" s="3"/>
      <c r="D190" s="68"/>
      <c r="E190" s="4"/>
      <c r="F190" s="4"/>
    </row>
    <row r="191" spans="1:14">
      <c r="A191" s="1"/>
      <c r="B191" s="2"/>
      <c r="C191" s="3"/>
      <c r="D191" s="68"/>
      <c r="E191" s="4"/>
      <c r="F191" s="4"/>
    </row>
    <row r="192" spans="1:14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B20:D20"/>
    <mergeCell ref="A137:C137"/>
    <mergeCell ref="D137:F137"/>
    <mergeCell ref="G137:H137"/>
    <mergeCell ref="A138:C138"/>
    <mergeCell ref="D138:F138"/>
    <mergeCell ref="G138:H138"/>
    <mergeCell ref="A12:D12"/>
    <mergeCell ref="A14:H14"/>
    <mergeCell ref="A15:H15"/>
    <mergeCell ref="A16:H16"/>
    <mergeCell ref="G17:H17"/>
    <mergeCell ref="A18:A19"/>
    <mergeCell ref="B18:D19"/>
    <mergeCell ref="E18:E19"/>
    <mergeCell ref="F18:F19"/>
    <mergeCell ref="G18:H18"/>
    <mergeCell ref="A11:G11"/>
    <mergeCell ref="A2:D2"/>
    <mergeCell ref="A3:D3"/>
    <mergeCell ref="A4:D4"/>
    <mergeCell ref="A5:D5"/>
    <mergeCell ref="A6:D6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171450</xdr:rowOff>
              </to>
            </anchor>
          </objectPr>
        </oleObject>
      </mc:Choice>
      <mc:Fallback>
        <oleObject progId="Word.Document.8" shapeId="1638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27"/>
  <sheetViews>
    <sheetView topLeftCell="A13" workbookViewId="0">
      <selection activeCell="G134" sqref="G22:G134"/>
    </sheetView>
  </sheetViews>
  <sheetFormatPr defaultRowHeight="15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9" width="11.85546875" style="5" customWidth="1"/>
    <col min="10" max="10" width="9.140625" style="5"/>
    <col min="11" max="11" width="13.140625" style="5" hidden="1" customWidth="1"/>
    <col min="12" max="12" width="9.140625" style="5" hidden="1" customWidth="1"/>
    <col min="13" max="13" width="9.28515625" style="6" hidden="1" customWidth="1"/>
    <col min="14" max="14" width="9.140625" style="5"/>
    <col min="15" max="15" width="10.5703125" style="5" customWidth="1"/>
    <col min="16" max="16" width="11.7109375" style="5" customWidth="1"/>
    <col min="17" max="16384" width="9.140625" style="5"/>
  </cols>
  <sheetData>
    <row r="1" spans="1:13" ht="16.5" customHeight="1">
      <c r="A1" s="1"/>
      <c r="B1" s="2"/>
      <c r="C1" s="3"/>
      <c r="D1" s="4"/>
      <c r="E1" s="4"/>
      <c r="F1" s="4"/>
    </row>
    <row r="2" spans="1:13">
      <c r="A2" s="319"/>
      <c r="B2" s="319"/>
      <c r="C2" s="319"/>
      <c r="D2" s="319"/>
      <c r="E2" s="4"/>
      <c r="F2" s="4"/>
    </row>
    <row r="3" spans="1:13" ht="13.5" customHeight="1">
      <c r="A3" s="319"/>
      <c r="B3" s="319"/>
      <c r="C3" s="319"/>
      <c r="D3" s="319"/>
      <c r="E3" s="4"/>
      <c r="F3" s="4"/>
    </row>
    <row r="4" spans="1:13" ht="15" customHeight="1">
      <c r="A4" s="319"/>
      <c r="B4" s="319"/>
      <c r="C4" s="319"/>
      <c r="D4" s="319"/>
      <c r="E4" s="4"/>
      <c r="F4" s="4"/>
    </row>
    <row r="5" spans="1:13" ht="16.5" customHeight="1">
      <c r="A5" s="319"/>
      <c r="B5" s="319"/>
      <c r="C5" s="319"/>
      <c r="D5" s="319"/>
      <c r="E5" s="4"/>
      <c r="F5" s="4"/>
    </row>
    <row r="6" spans="1:13">
      <c r="A6" s="319"/>
      <c r="B6" s="319"/>
      <c r="C6" s="319"/>
      <c r="D6" s="319"/>
      <c r="E6" s="4"/>
      <c r="F6" s="4"/>
    </row>
    <row r="7" spans="1:13" ht="13.5" customHeight="1">
      <c r="A7" s="1"/>
      <c r="B7" s="2"/>
      <c r="C7" s="3"/>
      <c r="D7" s="4"/>
      <c r="E7" s="4"/>
      <c r="F7" s="4"/>
    </row>
    <row r="8" spans="1:13" ht="13.5" customHeight="1">
      <c r="A8" s="1"/>
      <c r="B8" s="2"/>
      <c r="C8" s="3"/>
      <c r="D8" s="4"/>
      <c r="E8" s="4"/>
      <c r="F8" s="4"/>
    </row>
    <row r="9" spans="1:13" ht="13.5" customHeight="1">
      <c r="A9" s="1"/>
      <c r="B9" s="2"/>
      <c r="C9" s="3"/>
      <c r="D9" s="4"/>
      <c r="E9" s="4"/>
      <c r="F9" s="4"/>
    </row>
    <row r="10" spans="1:13">
      <c r="A10" s="1"/>
      <c r="B10" s="2"/>
      <c r="C10" s="3"/>
      <c r="D10" s="4"/>
      <c r="E10" s="4"/>
      <c r="F10" s="4"/>
    </row>
    <row r="11" spans="1:13" s="7" customFormat="1" ht="13.5" customHeight="1">
      <c r="A11" s="318"/>
      <c r="B11" s="318"/>
      <c r="C11" s="318"/>
      <c r="D11" s="318"/>
      <c r="E11" s="318"/>
      <c r="F11" s="318"/>
      <c r="G11" s="318"/>
      <c r="M11" s="8"/>
    </row>
    <row r="12" spans="1:13" s="7" customFormat="1" ht="13.5" customHeight="1">
      <c r="A12" s="318"/>
      <c r="B12" s="318"/>
      <c r="C12" s="318"/>
      <c r="D12" s="318"/>
      <c r="E12" s="4"/>
      <c r="F12" s="4"/>
      <c r="M12" s="8"/>
    </row>
    <row r="13" spans="1:13" s="7" customFormat="1" ht="24" customHeight="1">
      <c r="A13" s="1"/>
      <c r="B13" s="2"/>
      <c r="C13" s="3"/>
      <c r="D13" s="4"/>
      <c r="E13" s="4"/>
      <c r="F13" s="4"/>
      <c r="H13" s="9"/>
      <c r="I13" s="9"/>
      <c r="M13" s="8"/>
    </row>
    <row r="14" spans="1:13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I14" s="236"/>
      <c r="M14" s="8"/>
    </row>
    <row r="15" spans="1:13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I15" s="238"/>
      <c r="M15" s="8"/>
    </row>
    <row r="16" spans="1:13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I16" s="237"/>
      <c r="M16" s="8"/>
    </row>
    <row r="17" spans="1:16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I17" s="244"/>
      <c r="M17" s="8"/>
    </row>
    <row r="18" spans="1:16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I18" s="242"/>
      <c r="M18" s="8"/>
    </row>
    <row r="19" spans="1:16" s="7" customFormat="1" ht="37.5" customHeight="1">
      <c r="A19" s="336"/>
      <c r="B19" s="336"/>
      <c r="C19" s="336"/>
      <c r="D19" s="336"/>
      <c r="E19" s="337"/>
      <c r="F19" s="338"/>
      <c r="G19" s="10" t="s">
        <v>4</v>
      </c>
      <c r="H19" s="11" t="s">
        <v>5</v>
      </c>
      <c r="I19" s="245"/>
      <c r="M19" s="8"/>
    </row>
    <row r="20" spans="1:16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15">
        <v>5</v>
      </c>
      <c r="H20" s="16">
        <v>6</v>
      </c>
      <c r="I20" s="246"/>
      <c r="M20" s="8"/>
    </row>
    <row r="21" spans="1:16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3"/>
      <c r="H21" s="241"/>
      <c r="I21" s="243"/>
      <c r="J21" s="192"/>
      <c r="M21" s="25"/>
    </row>
    <row r="22" spans="1:16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41">
        <f>G23+G30+G35+G36</f>
        <v>4515072</v>
      </c>
      <c r="H22" s="184">
        <f>H23+H30+H35+H36</f>
        <v>4346866</v>
      </c>
      <c r="I22" s="247"/>
      <c r="J22" s="193">
        <f>'12. NZZ'!L22</f>
        <v>0</v>
      </c>
      <c r="K22" s="33">
        <v>1001</v>
      </c>
      <c r="L22" s="41">
        <v>4515071</v>
      </c>
      <c r="M22" s="34">
        <f t="shared" ref="M22:M85" si="0">G22-L22</f>
        <v>1</v>
      </c>
      <c r="O22" s="32"/>
    </row>
    <row r="23" spans="1:16" ht="25.5" customHeight="1">
      <c r="A23" s="29"/>
      <c r="B23" s="35"/>
      <c r="C23" s="35"/>
      <c r="D23" s="28" t="s">
        <v>292</v>
      </c>
      <c r="E23" s="29" t="s">
        <v>107</v>
      </c>
      <c r="F23" s="36"/>
      <c r="G23" s="83">
        <f>G24+G25-G26-G27-G28+G29</f>
        <v>4409205</v>
      </c>
      <c r="H23" s="185">
        <f>H24+H25-H26-H27-H28+H29</f>
        <v>4315874</v>
      </c>
      <c r="I23" s="247"/>
      <c r="J23" s="193">
        <f>'12. NZZ'!L23</f>
        <v>0</v>
      </c>
      <c r="K23" s="33">
        <v>1002</v>
      </c>
      <c r="L23" s="83">
        <v>4409204</v>
      </c>
      <c r="M23" s="34">
        <f t="shared" si="0"/>
        <v>1</v>
      </c>
      <c r="O23" s="32"/>
      <c r="P23" s="38"/>
    </row>
    <row r="24" spans="1:16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189">
        <f>L24</f>
        <v>0</v>
      </c>
      <c r="H24" s="186">
        <v>0</v>
      </c>
      <c r="I24" s="248"/>
      <c r="J24" s="193">
        <f>'12. NZZ'!L24</f>
        <v>0</v>
      </c>
      <c r="K24" s="33">
        <v>1003</v>
      </c>
      <c r="L24" s="189">
        <v>0</v>
      </c>
      <c r="M24" s="34">
        <f t="shared" si="0"/>
        <v>0</v>
      </c>
      <c r="O24" s="32"/>
    </row>
    <row r="25" spans="1:16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189">
        <f>L25</f>
        <v>6059521</v>
      </c>
      <c r="H25" s="186">
        <v>4974336</v>
      </c>
      <c r="I25" s="248"/>
      <c r="J25" s="193">
        <f>'12. NZZ'!L25</f>
        <v>0</v>
      </c>
      <c r="K25" s="33">
        <v>1004</v>
      </c>
      <c r="L25" s="189">
        <v>6059521</v>
      </c>
      <c r="M25" s="34">
        <f t="shared" si="0"/>
        <v>0</v>
      </c>
      <c r="O25" s="32"/>
    </row>
    <row r="26" spans="1:16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189">
        <f t="shared" ref="G26:G29" si="1">L26</f>
        <v>803135</v>
      </c>
      <c r="H26" s="186">
        <f>371353-1</f>
        <v>371352</v>
      </c>
      <c r="I26" s="248"/>
      <c r="J26" s="193">
        <f>'12. NZZ'!L26</f>
        <v>0</v>
      </c>
      <c r="K26" s="33">
        <v>1005</v>
      </c>
      <c r="L26" s="189">
        <v>803135</v>
      </c>
      <c r="M26" s="34">
        <f t="shared" si="0"/>
        <v>0</v>
      </c>
      <c r="O26" s="32"/>
      <c r="P26" s="38"/>
    </row>
    <row r="27" spans="1:16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189">
        <f t="shared" si="1"/>
        <v>897127</v>
      </c>
      <c r="H27" s="186">
        <f>543413+1</f>
        <v>543414</v>
      </c>
      <c r="I27" s="248"/>
      <c r="J27" s="193">
        <f>'12. NZZ'!L27</f>
        <v>0</v>
      </c>
      <c r="K27" s="33">
        <v>1006</v>
      </c>
      <c r="L27" s="189">
        <v>897127</v>
      </c>
      <c r="M27" s="34">
        <f t="shared" si="0"/>
        <v>0</v>
      </c>
      <c r="O27" s="32"/>
    </row>
    <row r="28" spans="1:16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189">
        <f t="shared" si="1"/>
        <v>0</v>
      </c>
      <c r="H28" s="186">
        <v>0</v>
      </c>
      <c r="I28" s="248"/>
      <c r="J28" s="193">
        <f>'12. NZZ'!L28</f>
        <v>0</v>
      </c>
      <c r="K28" s="33">
        <v>1007</v>
      </c>
      <c r="L28" s="189">
        <v>0</v>
      </c>
      <c r="M28" s="34">
        <f t="shared" si="0"/>
        <v>0</v>
      </c>
      <c r="O28" s="32"/>
    </row>
    <row r="29" spans="1:16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189">
        <f t="shared" si="1"/>
        <v>49946</v>
      </c>
      <c r="H29" s="186">
        <f>256305-1</f>
        <v>256304</v>
      </c>
      <c r="I29" s="248"/>
      <c r="J29" s="193">
        <f>'12. NZZ'!L29</f>
        <v>0</v>
      </c>
      <c r="K29" s="33">
        <v>1008</v>
      </c>
      <c r="L29" s="189">
        <v>49946</v>
      </c>
      <c r="M29" s="34">
        <f t="shared" si="0"/>
        <v>0</v>
      </c>
      <c r="O29" s="32"/>
    </row>
    <row r="30" spans="1:16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f>G31-G32-G33+G34</f>
        <v>0</v>
      </c>
      <c r="H30" s="185">
        <f>H31-H32-H33+H34</f>
        <v>0</v>
      </c>
      <c r="I30" s="247"/>
      <c r="J30" s="193">
        <f>'12. NZZ'!L30</f>
        <v>0</v>
      </c>
      <c r="K30" s="33">
        <v>1009</v>
      </c>
      <c r="L30" s="83">
        <v>0</v>
      </c>
      <c r="M30" s="34">
        <f t="shared" si="0"/>
        <v>0</v>
      </c>
      <c r="O30" s="32"/>
    </row>
    <row r="31" spans="1:16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189">
        <f>L31</f>
        <v>0</v>
      </c>
      <c r="H31" s="186">
        <v>0</v>
      </c>
      <c r="I31" s="248"/>
      <c r="J31" s="193">
        <f>'12. NZZ'!L31</f>
        <v>0</v>
      </c>
      <c r="K31" s="33">
        <v>1010</v>
      </c>
      <c r="L31" s="189">
        <v>0</v>
      </c>
      <c r="M31" s="34">
        <f t="shared" si="0"/>
        <v>0</v>
      </c>
      <c r="O31" s="32"/>
    </row>
    <row r="32" spans="1:16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189">
        <f t="shared" ref="G32:G36" si="2">L32</f>
        <v>0</v>
      </c>
      <c r="H32" s="186">
        <v>0</v>
      </c>
      <c r="I32" s="248"/>
      <c r="J32" s="193">
        <f>'12. NZZ'!L32</f>
        <v>0</v>
      </c>
      <c r="K32" s="33">
        <v>1011</v>
      </c>
      <c r="L32" s="189">
        <v>0</v>
      </c>
      <c r="M32" s="34">
        <f t="shared" si="0"/>
        <v>0</v>
      </c>
      <c r="O32" s="32"/>
    </row>
    <row r="33" spans="1:15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189">
        <f t="shared" si="2"/>
        <v>0</v>
      </c>
      <c r="H33" s="186">
        <v>0</v>
      </c>
      <c r="I33" s="248"/>
      <c r="J33" s="193">
        <f>'12. NZZ'!L33</f>
        <v>0</v>
      </c>
      <c r="K33" s="33">
        <v>1012</v>
      </c>
      <c r="L33" s="189">
        <v>0</v>
      </c>
      <c r="M33" s="34">
        <f t="shared" si="0"/>
        <v>0</v>
      </c>
      <c r="O33" s="32"/>
    </row>
    <row r="34" spans="1:15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189">
        <f t="shared" si="2"/>
        <v>0</v>
      </c>
      <c r="H34" s="186">
        <v>0</v>
      </c>
      <c r="I34" s="248"/>
      <c r="J34" s="193">
        <f>'12. NZZ'!L34</f>
        <v>0</v>
      </c>
      <c r="K34" s="33">
        <v>1013</v>
      </c>
      <c r="L34" s="189">
        <v>0</v>
      </c>
      <c r="M34" s="34">
        <f t="shared" si="0"/>
        <v>0</v>
      </c>
      <c r="O34" s="32"/>
    </row>
    <row r="35" spans="1:15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3">
        <f>L35</f>
        <v>6749</v>
      </c>
      <c r="H35" s="185">
        <f>5823-1</f>
        <v>5822</v>
      </c>
      <c r="I35" s="247"/>
      <c r="J35" s="193">
        <f>'12. NZZ'!L35</f>
        <v>0</v>
      </c>
      <c r="K35" s="33">
        <v>1014</v>
      </c>
      <c r="L35" s="83">
        <v>6749</v>
      </c>
      <c r="M35" s="34">
        <f t="shared" si="0"/>
        <v>0</v>
      </c>
      <c r="O35" s="32"/>
    </row>
    <row r="36" spans="1:15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3">
        <f t="shared" si="2"/>
        <v>99118</v>
      </c>
      <c r="H36" s="185">
        <f>25171-1</f>
        <v>25170</v>
      </c>
      <c r="I36" s="247"/>
      <c r="J36" s="193">
        <f>'12. NZZ'!L36</f>
        <v>0</v>
      </c>
      <c r="K36" s="33">
        <v>1015</v>
      </c>
      <c r="L36" s="83">
        <v>99118</v>
      </c>
      <c r="M36" s="34">
        <f t="shared" si="0"/>
        <v>0</v>
      </c>
      <c r="O36" s="32"/>
    </row>
    <row r="37" spans="1:15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41">
        <f>G38+G47+G55-G56-G65+G66-G67+G68+G69</f>
        <v>3069738</v>
      </c>
      <c r="H37" s="184">
        <f>H38+H47+H55-H56-H65+H66-H67+H68+H69</f>
        <v>2771881</v>
      </c>
      <c r="I37" s="247"/>
      <c r="J37" s="193">
        <f>'12. NZZ'!L37</f>
        <v>0</v>
      </c>
      <c r="K37" s="33">
        <v>1016</v>
      </c>
      <c r="L37" s="41">
        <v>3069736</v>
      </c>
      <c r="M37" s="34">
        <f t="shared" si="0"/>
        <v>2</v>
      </c>
      <c r="O37" s="32"/>
    </row>
    <row r="38" spans="1:15" ht="32.25" customHeight="1">
      <c r="A38" s="29"/>
      <c r="B38" s="35"/>
      <c r="C38" s="35"/>
      <c r="D38" s="28" t="s">
        <v>295</v>
      </c>
      <c r="E38" s="29" t="s">
        <v>128</v>
      </c>
      <c r="F38" s="36"/>
      <c r="G38" s="83">
        <f>G39+G40+G41+G42+G43+G44+G45+G46</f>
        <v>138754</v>
      </c>
      <c r="H38" s="185">
        <f>H39+H40+H41+H42+H43+H44+H45+H46</f>
        <v>105948</v>
      </c>
      <c r="I38" s="247"/>
      <c r="J38" s="193">
        <f>'12. NZZ'!L38</f>
        <v>0</v>
      </c>
      <c r="K38" s="33">
        <v>1017</v>
      </c>
      <c r="L38" s="83">
        <v>138754</v>
      </c>
      <c r="M38" s="34">
        <f t="shared" si="0"/>
        <v>0</v>
      </c>
      <c r="O38" s="32"/>
    </row>
    <row r="39" spans="1:15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189">
        <f>L39</f>
        <v>0</v>
      </c>
      <c r="H39" s="186">
        <v>0</v>
      </c>
      <c r="I39" s="248"/>
      <c r="J39" s="193">
        <f>'12. NZZ'!L39</f>
        <v>0</v>
      </c>
      <c r="K39" s="33">
        <v>1018</v>
      </c>
      <c r="L39" s="189">
        <v>0</v>
      </c>
      <c r="M39" s="34">
        <f t="shared" si="0"/>
        <v>0</v>
      </c>
      <c r="O39" s="32"/>
    </row>
    <row r="40" spans="1:15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189">
        <f t="shared" ref="G40:G46" si="3">L40</f>
        <v>0</v>
      </c>
      <c r="H40" s="186">
        <v>0</v>
      </c>
      <c r="I40" s="248"/>
      <c r="J40" s="193">
        <f>'12. NZZ'!L40</f>
        <v>0</v>
      </c>
      <c r="K40" s="33">
        <v>1019</v>
      </c>
      <c r="L40" s="189">
        <v>0</v>
      </c>
      <c r="M40" s="34">
        <f t="shared" si="0"/>
        <v>0</v>
      </c>
      <c r="O40" s="32"/>
    </row>
    <row r="41" spans="1:15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189">
        <f t="shared" si="3"/>
        <v>127962</v>
      </c>
      <c r="H41" s="186">
        <v>105948</v>
      </c>
      <c r="I41" s="248"/>
      <c r="J41" s="193">
        <f>'12. NZZ'!L41</f>
        <v>0</v>
      </c>
      <c r="K41" s="33">
        <v>1020</v>
      </c>
      <c r="L41" s="189">
        <v>127962</v>
      </c>
      <c r="M41" s="34">
        <f t="shared" si="0"/>
        <v>0</v>
      </c>
      <c r="O41" s="32"/>
    </row>
    <row r="42" spans="1:15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189">
        <f t="shared" si="3"/>
        <v>158</v>
      </c>
      <c r="H42" s="186">
        <v>0</v>
      </c>
      <c r="I42" s="248"/>
      <c r="J42" s="193">
        <f>'12. NZZ'!L42</f>
        <v>0</v>
      </c>
      <c r="K42" s="33">
        <v>1021</v>
      </c>
      <c r="L42" s="189">
        <v>158</v>
      </c>
      <c r="M42" s="34">
        <f t="shared" si="0"/>
        <v>0</v>
      </c>
      <c r="O42" s="32"/>
    </row>
    <row r="43" spans="1:15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189">
        <f t="shared" si="3"/>
        <v>0</v>
      </c>
      <c r="H43" s="186">
        <v>0</v>
      </c>
      <c r="I43" s="248"/>
      <c r="J43" s="193">
        <f>'12. NZZ'!L43</f>
        <v>0</v>
      </c>
      <c r="K43" s="33">
        <v>1022</v>
      </c>
      <c r="L43" s="189">
        <v>0</v>
      </c>
      <c r="M43" s="34">
        <f t="shared" si="0"/>
        <v>0</v>
      </c>
      <c r="O43" s="32"/>
    </row>
    <row r="44" spans="1:15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189">
        <f t="shared" si="3"/>
        <v>0</v>
      </c>
      <c r="H44" s="186">
        <v>0</v>
      </c>
      <c r="I44" s="248"/>
      <c r="J44" s="193">
        <f>'12. NZZ'!L44</f>
        <v>0</v>
      </c>
      <c r="K44" s="33">
        <v>1023</v>
      </c>
      <c r="L44" s="189">
        <v>0</v>
      </c>
      <c r="M44" s="34">
        <f t="shared" si="0"/>
        <v>0</v>
      </c>
      <c r="O44" s="32"/>
    </row>
    <row r="45" spans="1:15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189">
        <f t="shared" si="3"/>
        <v>10634</v>
      </c>
      <c r="H45" s="186">
        <v>0</v>
      </c>
      <c r="I45" s="248"/>
      <c r="J45" s="193">
        <f>'12. NZZ'!L45</f>
        <v>0</v>
      </c>
      <c r="K45" s="33">
        <v>1024</v>
      </c>
      <c r="L45" s="189">
        <v>10634</v>
      </c>
      <c r="M45" s="34">
        <f t="shared" si="0"/>
        <v>0</v>
      </c>
      <c r="O45" s="32"/>
    </row>
    <row r="46" spans="1:15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189">
        <f t="shared" si="3"/>
        <v>0</v>
      </c>
      <c r="H46" s="186">
        <v>0</v>
      </c>
      <c r="I46" s="248"/>
      <c r="J46" s="193">
        <f>'12. NZZ'!L46</f>
        <v>0</v>
      </c>
      <c r="K46" s="33">
        <v>1025</v>
      </c>
      <c r="L46" s="189">
        <v>0</v>
      </c>
      <c r="M46" s="34">
        <f t="shared" si="0"/>
        <v>0</v>
      </c>
      <c r="O46" s="32"/>
    </row>
    <row r="47" spans="1:15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2226956</v>
      </c>
      <c r="H47" s="185">
        <f>H48+H49+H50+H51+H52-H53-H54</f>
        <v>2279020</v>
      </c>
      <c r="I47" s="247"/>
      <c r="J47" s="193">
        <f>'12. NZZ'!L47</f>
        <v>0</v>
      </c>
      <c r="K47" s="33">
        <v>1026</v>
      </c>
      <c r="L47" s="83">
        <v>2226956</v>
      </c>
      <c r="M47" s="34">
        <f t="shared" si="0"/>
        <v>0</v>
      </c>
      <c r="O47" s="32"/>
    </row>
    <row r="48" spans="1:15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189">
        <f>L48</f>
        <v>0</v>
      </c>
      <c r="H48" s="186">
        <v>0</v>
      </c>
      <c r="I48" s="248"/>
      <c r="J48" s="193">
        <f>'12. NZZ'!L48</f>
        <v>0</v>
      </c>
      <c r="K48" s="33">
        <v>1027</v>
      </c>
      <c r="L48" s="189">
        <v>0</v>
      </c>
      <c r="M48" s="34">
        <f t="shared" si="0"/>
        <v>0</v>
      </c>
      <c r="O48" s="32"/>
    </row>
    <row r="49" spans="1:15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189">
        <f t="shared" ref="G49:G54" si="4">L49</f>
        <v>3971435</v>
      </c>
      <c r="H49" s="186">
        <f>2244546+1</f>
        <v>2244547</v>
      </c>
      <c r="I49" s="248"/>
      <c r="J49" s="193">
        <f>'12. NZZ'!L49</f>
        <v>0</v>
      </c>
      <c r="K49" s="33">
        <v>1028</v>
      </c>
      <c r="L49" s="189">
        <v>3971435</v>
      </c>
      <c r="M49" s="34">
        <f t="shared" si="0"/>
        <v>0</v>
      </c>
      <c r="O49" s="32"/>
    </row>
    <row r="50" spans="1:15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189">
        <f t="shared" si="4"/>
        <v>24817</v>
      </c>
      <c r="H50" s="186">
        <v>85499</v>
      </c>
      <c r="I50" s="248"/>
      <c r="J50" s="193">
        <f>'12. NZZ'!L50</f>
        <v>0</v>
      </c>
      <c r="K50" s="33">
        <v>1029</v>
      </c>
      <c r="L50" s="189">
        <v>24817</v>
      </c>
      <c r="M50" s="34">
        <f t="shared" si="0"/>
        <v>0</v>
      </c>
      <c r="O50" s="32"/>
    </row>
    <row r="51" spans="1:15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189">
        <f t="shared" si="4"/>
        <v>0</v>
      </c>
      <c r="H51" s="186">
        <v>0</v>
      </c>
      <c r="I51" s="248"/>
      <c r="J51" s="193">
        <f>'12. NZZ'!L51</f>
        <v>0</v>
      </c>
      <c r="K51" s="33">
        <v>1030</v>
      </c>
      <c r="L51" s="189">
        <v>0</v>
      </c>
      <c r="M51" s="34">
        <f t="shared" si="0"/>
        <v>0</v>
      </c>
      <c r="O51" s="32"/>
    </row>
    <row r="52" spans="1:15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189">
        <f t="shared" si="4"/>
        <v>217655</v>
      </c>
      <c r="H52" s="186">
        <f>199525-1</f>
        <v>199524</v>
      </c>
      <c r="I52" s="248"/>
      <c r="J52" s="193">
        <f>'12. NZZ'!L52</f>
        <v>0</v>
      </c>
      <c r="K52" s="33">
        <v>1031</v>
      </c>
      <c r="L52" s="189">
        <v>217655</v>
      </c>
      <c r="M52" s="34">
        <f t="shared" si="0"/>
        <v>0</v>
      </c>
      <c r="O52" s="32"/>
    </row>
    <row r="53" spans="1:15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189">
        <f t="shared" si="4"/>
        <v>256965</v>
      </c>
      <c r="H53" s="186">
        <v>71348</v>
      </c>
      <c r="I53" s="248"/>
      <c r="J53" s="193">
        <f>'12. NZZ'!L53</f>
        <v>0</v>
      </c>
      <c r="K53" s="33">
        <v>1032</v>
      </c>
      <c r="L53" s="189">
        <v>256965</v>
      </c>
      <c r="M53" s="34">
        <f t="shared" si="0"/>
        <v>0</v>
      </c>
      <c r="O53" s="32"/>
    </row>
    <row r="54" spans="1:15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189">
        <f t="shared" si="4"/>
        <v>1729986</v>
      </c>
      <c r="H54" s="186">
        <f>179200+2</f>
        <v>179202</v>
      </c>
      <c r="I54" s="248"/>
      <c r="J54" s="193">
        <f>'12. NZZ'!L54</f>
        <v>0</v>
      </c>
      <c r="K54" s="33">
        <v>1033</v>
      </c>
      <c r="L54" s="189">
        <v>1729986</v>
      </c>
      <c r="M54" s="34">
        <f t="shared" si="0"/>
        <v>0</v>
      </c>
      <c r="O54" s="32"/>
    </row>
    <row r="55" spans="1:15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382671</v>
      </c>
      <c r="H55" s="185">
        <f>IF((H57-H58+H59-H60+H61-H62+H63-H64)&gt;0,(H57-H58+H59-H60+H61-H62+H63-H64),0)</f>
        <v>83226</v>
      </c>
      <c r="I55" s="247"/>
      <c r="J55" s="193">
        <f>'12. NZZ'!L55</f>
        <v>0</v>
      </c>
      <c r="K55" s="33">
        <v>1034</v>
      </c>
      <c r="L55" s="83">
        <v>382670</v>
      </c>
      <c r="M55" s="34">
        <f t="shared" si="0"/>
        <v>1</v>
      </c>
      <c r="O55" s="32"/>
    </row>
    <row r="56" spans="1:15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0</v>
      </c>
      <c r="H56" s="187">
        <f>IF((H57-H58+H59-H60+H61-H62+H63-H64)&lt;0,-(H57-H58+H59-H60+H61-H62+H63-H64),0)</f>
        <v>0</v>
      </c>
      <c r="I56" s="249"/>
      <c r="J56" s="193">
        <f>'12. NZZ'!L56</f>
        <v>0</v>
      </c>
      <c r="K56" s="33">
        <v>1035</v>
      </c>
      <c r="L56" s="190">
        <v>0</v>
      </c>
      <c r="M56" s="34">
        <f t="shared" si="0"/>
        <v>0</v>
      </c>
      <c r="O56" s="32"/>
    </row>
    <row r="57" spans="1:15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189">
        <f>L57</f>
        <v>0</v>
      </c>
      <c r="H57" s="186">
        <v>0</v>
      </c>
      <c r="I57" s="248"/>
      <c r="J57" s="193">
        <f>'12. NZZ'!L57</f>
        <v>0</v>
      </c>
      <c r="K57" s="33">
        <v>1036</v>
      </c>
      <c r="L57" s="189">
        <v>0</v>
      </c>
      <c r="M57" s="34">
        <f t="shared" si="0"/>
        <v>0</v>
      </c>
      <c r="O57" s="32"/>
    </row>
    <row r="58" spans="1:15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189">
        <f t="shared" ref="G58:G69" si="5">L58</f>
        <v>0</v>
      </c>
      <c r="H58" s="186">
        <v>0</v>
      </c>
      <c r="I58" s="248"/>
      <c r="J58" s="193">
        <f>'12. NZZ'!L58</f>
        <v>0</v>
      </c>
      <c r="K58" s="33">
        <v>1037</v>
      </c>
      <c r="L58" s="189">
        <v>0</v>
      </c>
      <c r="M58" s="34">
        <f t="shared" si="0"/>
        <v>0</v>
      </c>
      <c r="O58" s="32"/>
    </row>
    <row r="59" spans="1:15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189">
        <f t="shared" si="5"/>
        <v>1426488</v>
      </c>
      <c r="H59" s="186">
        <f>1324910+1</f>
        <v>1324911</v>
      </c>
      <c r="I59" s="248"/>
      <c r="J59" s="193">
        <f>'12. NZZ'!L59</f>
        <v>0</v>
      </c>
      <c r="K59" s="33">
        <v>1038</v>
      </c>
      <c r="L59" s="189">
        <v>1426488</v>
      </c>
      <c r="M59" s="34">
        <f t="shared" si="0"/>
        <v>0</v>
      </c>
      <c r="O59" s="32"/>
    </row>
    <row r="60" spans="1:15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189">
        <f t="shared" si="5"/>
        <v>1031617</v>
      </c>
      <c r="H60" s="186">
        <f>1254033-1</f>
        <v>1254032</v>
      </c>
      <c r="I60" s="248"/>
      <c r="J60" s="193">
        <f>'12. NZZ'!L60</f>
        <v>0</v>
      </c>
      <c r="K60" s="33">
        <v>1039</v>
      </c>
      <c r="L60" s="189">
        <v>1031617</v>
      </c>
      <c r="M60" s="34">
        <f t="shared" si="0"/>
        <v>0</v>
      </c>
      <c r="O60" s="32"/>
    </row>
    <row r="61" spans="1:15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189">
        <f t="shared" si="5"/>
        <v>301</v>
      </c>
      <c r="H61" s="186">
        <f>12501-1</f>
        <v>12500</v>
      </c>
      <c r="I61" s="248"/>
      <c r="J61" s="193">
        <f>'12. NZZ'!L61</f>
        <v>0</v>
      </c>
      <c r="K61" s="33">
        <v>1040</v>
      </c>
      <c r="L61" s="189">
        <v>301</v>
      </c>
      <c r="M61" s="34">
        <f t="shared" si="0"/>
        <v>0</v>
      </c>
      <c r="O61" s="32"/>
    </row>
    <row r="62" spans="1:15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189">
        <f t="shared" si="5"/>
        <v>12501</v>
      </c>
      <c r="H62" s="186">
        <v>153</v>
      </c>
      <c r="I62" s="248"/>
      <c r="J62" s="193">
        <f>'12. NZZ'!L62</f>
        <v>0</v>
      </c>
      <c r="K62" s="33">
        <v>1041</v>
      </c>
      <c r="L62" s="189">
        <v>12501</v>
      </c>
      <c r="M62" s="34">
        <f t="shared" si="0"/>
        <v>0</v>
      </c>
      <c r="O62" s="32"/>
    </row>
    <row r="63" spans="1:15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189">
        <f t="shared" si="5"/>
        <v>0</v>
      </c>
      <c r="H63" s="186">
        <v>0</v>
      </c>
      <c r="I63" s="248"/>
      <c r="J63" s="193">
        <f>'12. NZZ'!L63</f>
        <v>0</v>
      </c>
      <c r="K63" s="33">
        <v>1042</v>
      </c>
      <c r="L63" s="189">
        <v>0</v>
      </c>
      <c r="M63" s="34">
        <f t="shared" si="0"/>
        <v>0</v>
      </c>
      <c r="O63" s="32"/>
    </row>
    <row r="64" spans="1:15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189">
        <f t="shared" si="5"/>
        <v>0</v>
      </c>
      <c r="H64" s="186">
        <v>0</v>
      </c>
      <c r="I64" s="248"/>
      <c r="J64" s="193">
        <f>'12. NZZ'!L64</f>
        <v>0</v>
      </c>
      <c r="K64" s="33">
        <v>1043</v>
      </c>
      <c r="L64" s="189">
        <v>0</v>
      </c>
      <c r="M64" s="34">
        <f t="shared" si="0"/>
        <v>0</v>
      </c>
      <c r="O64" s="32"/>
    </row>
    <row r="65" spans="1:15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3">
        <f>L65</f>
        <v>2333</v>
      </c>
      <c r="H65" s="185">
        <v>13944</v>
      </c>
      <c r="I65" s="247"/>
      <c r="J65" s="193">
        <f>'12. NZZ'!L65</f>
        <v>0</v>
      </c>
      <c r="K65" s="33">
        <v>1044</v>
      </c>
      <c r="L65" s="83">
        <v>2333</v>
      </c>
      <c r="M65" s="34">
        <f t="shared" si="0"/>
        <v>0</v>
      </c>
      <c r="O65" s="32"/>
    </row>
    <row r="66" spans="1:15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3">
        <f t="shared" si="5"/>
        <v>0</v>
      </c>
      <c r="H66" s="185">
        <v>0</v>
      </c>
      <c r="I66" s="247"/>
      <c r="J66" s="193">
        <f>'12. NZZ'!L66</f>
        <v>0</v>
      </c>
      <c r="K66" s="33">
        <v>1045</v>
      </c>
      <c r="L66" s="83">
        <v>0</v>
      </c>
      <c r="M66" s="34">
        <f t="shared" si="0"/>
        <v>0</v>
      </c>
      <c r="O66" s="32"/>
    </row>
    <row r="67" spans="1:15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3">
        <f t="shared" si="5"/>
        <v>0</v>
      </c>
      <c r="H67" s="185">
        <v>50546</v>
      </c>
      <c r="I67" s="247"/>
      <c r="J67" s="193">
        <f>'12. NZZ'!L67</f>
        <v>0</v>
      </c>
      <c r="K67" s="33">
        <v>1046</v>
      </c>
      <c r="L67" s="83">
        <v>0</v>
      </c>
      <c r="M67" s="34">
        <f t="shared" si="0"/>
        <v>0</v>
      </c>
      <c r="O67" s="32"/>
    </row>
    <row r="68" spans="1:15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3">
        <f t="shared" si="5"/>
        <v>323690</v>
      </c>
      <c r="H68" s="185">
        <v>368177</v>
      </c>
      <c r="I68" s="247"/>
      <c r="J68" s="193">
        <f>'12. NZZ'!L68</f>
        <v>0</v>
      </c>
      <c r="K68" s="33">
        <v>1047</v>
      </c>
      <c r="L68" s="83">
        <v>323690</v>
      </c>
      <c r="M68" s="34">
        <f t="shared" si="0"/>
        <v>0</v>
      </c>
      <c r="O68" s="32"/>
    </row>
    <row r="69" spans="1:15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3">
        <f t="shared" si="5"/>
        <v>0</v>
      </c>
      <c r="H69" s="185">
        <v>0</v>
      </c>
      <c r="I69" s="247"/>
      <c r="J69" s="193">
        <f>'12. NZZ'!L69</f>
        <v>0</v>
      </c>
      <c r="K69" s="33">
        <v>1048</v>
      </c>
      <c r="L69" s="83">
        <v>0</v>
      </c>
      <c r="M69" s="34">
        <f t="shared" si="0"/>
        <v>0</v>
      </c>
      <c r="O69" s="32"/>
    </row>
    <row r="70" spans="1:15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1445334</v>
      </c>
      <c r="H70" s="184">
        <f>IF((H22-H37)&gt;0,(H22-H37),0)</f>
        <v>1574985</v>
      </c>
      <c r="I70" s="247"/>
      <c r="J70" s="193">
        <f>'12. NZZ'!L70</f>
        <v>0</v>
      </c>
      <c r="K70" s="33">
        <v>1049</v>
      </c>
      <c r="L70" s="41">
        <v>1445335</v>
      </c>
      <c r="M70" s="34">
        <f t="shared" si="0"/>
        <v>-1</v>
      </c>
      <c r="O70" s="32"/>
    </row>
    <row r="71" spans="1:15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184">
        <f>IF((H22-H37)&lt;0,-(H22-H37),0)</f>
        <v>0</v>
      </c>
      <c r="I71" s="247"/>
      <c r="J71" s="193">
        <f>'12. NZZ'!L71</f>
        <v>0</v>
      </c>
      <c r="K71" s="33">
        <v>1050</v>
      </c>
      <c r="L71" s="41">
        <v>0</v>
      </c>
      <c r="M71" s="34">
        <f t="shared" si="0"/>
        <v>0</v>
      </c>
      <c r="O71" s="32"/>
    </row>
    <row r="72" spans="1:15" ht="25.5">
      <c r="A72" s="26"/>
      <c r="B72" s="27" t="s">
        <v>56</v>
      </c>
      <c r="C72" s="27"/>
      <c r="D72" s="42" t="s">
        <v>301</v>
      </c>
      <c r="E72" s="29"/>
      <c r="F72" s="30"/>
      <c r="G72" s="41"/>
      <c r="H72" s="184"/>
      <c r="I72" s="247"/>
      <c r="J72" s="193">
        <f>'12. NZZ'!L72</f>
        <v>0</v>
      </c>
      <c r="K72" s="43"/>
      <c r="L72" s="41"/>
      <c r="M72" s="45">
        <f t="shared" si="0"/>
        <v>0</v>
      </c>
      <c r="O72" s="32"/>
    </row>
    <row r="73" spans="1:15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367238</v>
      </c>
      <c r="H73" s="184">
        <f>H74+H75+H79+H80+H81+H82+H83</f>
        <v>120094</v>
      </c>
      <c r="I73" s="247"/>
      <c r="J73" s="193">
        <f>'12. NZZ'!L73</f>
        <v>0</v>
      </c>
      <c r="K73" s="33">
        <v>1051</v>
      </c>
      <c r="L73" s="41">
        <v>367239</v>
      </c>
      <c r="M73" s="34">
        <f t="shared" si="0"/>
        <v>-1</v>
      </c>
      <c r="O73" s="32"/>
    </row>
    <row r="74" spans="1:15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108">
        <f>L74</f>
        <v>10886</v>
      </c>
      <c r="H74" s="186">
        <v>22507</v>
      </c>
      <c r="I74" s="248"/>
      <c r="J74" s="193">
        <f>'12. NZZ'!L74</f>
        <v>0</v>
      </c>
      <c r="K74" s="33">
        <v>1052</v>
      </c>
      <c r="L74" s="108">
        <v>10886</v>
      </c>
      <c r="M74" s="34">
        <f t="shared" si="0"/>
        <v>0</v>
      </c>
      <c r="O74" s="32"/>
    </row>
    <row r="75" spans="1:15" ht="15.75" customHeight="1">
      <c r="A75" s="26"/>
      <c r="B75" s="27"/>
      <c r="C75" s="27"/>
      <c r="D75" s="39" t="s">
        <v>188</v>
      </c>
      <c r="E75" s="29" t="s">
        <v>190</v>
      </c>
      <c r="F75" s="30"/>
      <c r="G75" s="108">
        <f>G76+G77+G78</f>
        <v>49281</v>
      </c>
      <c r="H75" s="186">
        <v>33108</v>
      </c>
      <c r="I75" s="248"/>
      <c r="J75" s="193">
        <f>'12. NZZ'!L75</f>
        <v>0</v>
      </c>
      <c r="K75" s="33">
        <v>1053</v>
      </c>
      <c r="L75" s="108">
        <v>49281</v>
      </c>
      <c r="M75" s="34">
        <f t="shared" si="0"/>
        <v>0</v>
      </c>
      <c r="O75" s="32"/>
    </row>
    <row r="76" spans="1:15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108">
        <f>L76</f>
        <v>29141</v>
      </c>
      <c r="H76" s="186">
        <v>33108</v>
      </c>
      <c r="I76" s="248"/>
      <c r="J76" s="193">
        <f>'12. NZZ'!L76</f>
        <v>0</v>
      </c>
      <c r="K76" s="33">
        <v>1054</v>
      </c>
      <c r="L76" s="108">
        <v>29141</v>
      </c>
      <c r="M76" s="34">
        <f t="shared" si="0"/>
        <v>0</v>
      </c>
      <c r="O76" s="32"/>
    </row>
    <row r="77" spans="1:15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108">
        <f t="shared" ref="G77:G83" si="6">L77</f>
        <v>19970</v>
      </c>
      <c r="H77" s="186">
        <v>0</v>
      </c>
      <c r="I77" s="248"/>
      <c r="J77" s="193">
        <f>'12. NZZ'!L77</f>
        <v>0</v>
      </c>
      <c r="K77" s="33">
        <v>1055</v>
      </c>
      <c r="L77" s="108">
        <v>19970</v>
      </c>
      <c r="M77" s="34">
        <f t="shared" si="0"/>
        <v>0</v>
      </c>
      <c r="O77" s="32"/>
    </row>
    <row r="78" spans="1:15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108">
        <f t="shared" si="6"/>
        <v>170</v>
      </c>
      <c r="H78" s="186">
        <v>0</v>
      </c>
      <c r="I78" s="248"/>
      <c r="J78" s="193">
        <f>'12. NZZ'!L78</f>
        <v>0</v>
      </c>
      <c r="K78" s="33">
        <v>1056</v>
      </c>
      <c r="L78" s="108">
        <v>170</v>
      </c>
      <c r="M78" s="34">
        <f t="shared" si="0"/>
        <v>0</v>
      </c>
      <c r="O78" s="32"/>
    </row>
    <row r="79" spans="1:15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108">
        <f t="shared" si="6"/>
        <v>40588</v>
      </c>
      <c r="H79" s="186">
        <f>8781-2</f>
        <v>8779</v>
      </c>
      <c r="I79" s="248"/>
      <c r="J79" s="193">
        <f>'12. NZZ'!L79</f>
        <v>0</v>
      </c>
      <c r="K79" s="33">
        <v>1057</v>
      </c>
      <c r="L79" s="108">
        <v>40588</v>
      </c>
      <c r="M79" s="34">
        <f t="shared" si="0"/>
        <v>0</v>
      </c>
      <c r="O79" s="32"/>
    </row>
    <row r="80" spans="1:15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108">
        <f t="shared" si="6"/>
        <v>111679</v>
      </c>
      <c r="H80" s="186">
        <v>3405</v>
      </c>
      <c r="I80" s="248"/>
      <c r="J80" s="193">
        <f>'12. NZZ'!L80</f>
        <v>0</v>
      </c>
      <c r="K80" s="33">
        <v>1058</v>
      </c>
      <c r="L80" s="108">
        <v>111679</v>
      </c>
      <c r="M80" s="34">
        <f t="shared" si="0"/>
        <v>0</v>
      </c>
      <c r="O80" s="32"/>
    </row>
    <row r="81" spans="1:15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108">
        <f t="shared" si="6"/>
        <v>114805</v>
      </c>
      <c r="H81" s="186">
        <v>283</v>
      </c>
      <c r="I81" s="248"/>
      <c r="J81" s="193">
        <f>'12. NZZ'!L81</f>
        <v>0</v>
      </c>
      <c r="K81" s="33">
        <v>1059</v>
      </c>
      <c r="L81" s="108">
        <v>114805</v>
      </c>
      <c r="M81" s="34">
        <f t="shared" si="0"/>
        <v>0</v>
      </c>
      <c r="O81" s="32"/>
    </row>
    <row r="82" spans="1:15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108">
        <f t="shared" si="6"/>
        <v>25287</v>
      </c>
      <c r="H82" s="186">
        <f>52011+1</f>
        <v>52012</v>
      </c>
      <c r="I82" s="248"/>
      <c r="J82" s="193">
        <f>'12. NZZ'!L82</f>
        <v>0</v>
      </c>
      <c r="K82" s="33">
        <v>1060</v>
      </c>
      <c r="L82" s="108">
        <v>25287</v>
      </c>
      <c r="M82" s="34">
        <f t="shared" si="0"/>
        <v>0</v>
      </c>
      <c r="O82" s="32"/>
    </row>
    <row r="83" spans="1:15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108">
        <f t="shared" si="6"/>
        <v>14712</v>
      </c>
      <c r="H83" s="186">
        <v>0</v>
      </c>
      <c r="I83" s="283"/>
      <c r="J83" s="193">
        <f>'12. NZZ'!L83</f>
        <v>0</v>
      </c>
      <c r="K83" s="33">
        <v>1061</v>
      </c>
      <c r="L83" s="108">
        <v>14712</v>
      </c>
      <c r="M83" s="34">
        <f t="shared" si="0"/>
        <v>0</v>
      </c>
      <c r="O83" s="32"/>
    </row>
    <row r="84" spans="1:15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148751</v>
      </c>
      <c r="H84" s="184">
        <f>H85+H86+H89+H90+H91+H92</f>
        <v>35160</v>
      </c>
      <c r="I84" s="269"/>
      <c r="J84" s="193">
        <f>'12. NZZ'!L84</f>
        <v>0</v>
      </c>
      <c r="K84" s="33">
        <v>1062</v>
      </c>
      <c r="L84" s="41">
        <v>148751</v>
      </c>
      <c r="M84" s="34">
        <f t="shared" si="0"/>
        <v>0</v>
      </c>
      <c r="O84" s="32"/>
    </row>
    <row r="85" spans="1:15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189">
        <f>L85</f>
        <v>0</v>
      </c>
      <c r="H85" s="186">
        <v>0</v>
      </c>
      <c r="I85" s="283"/>
      <c r="J85" s="193">
        <f>'12. NZZ'!L85</f>
        <v>0</v>
      </c>
      <c r="K85" s="70">
        <v>1063</v>
      </c>
      <c r="L85" s="189">
        <v>0</v>
      </c>
      <c r="M85" s="71">
        <f t="shared" si="0"/>
        <v>0</v>
      </c>
      <c r="O85" s="32"/>
    </row>
    <row r="86" spans="1:15" ht="15">
      <c r="A86" s="26"/>
      <c r="B86" s="35"/>
      <c r="C86" s="35"/>
      <c r="D86" s="39" t="s">
        <v>304</v>
      </c>
      <c r="E86" s="29" t="s">
        <v>218</v>
      </c>
      <c r="F86" s="30"/>
      <c r="G86" s="189">
        <f>G87+G88</f>
        <v>82895</v>
      </c>
      <c r="H86" s="186">
        <v>0</v>
      </c>
      <c r="I86" s="283"/>
      <c r="J86" s="193">
        <f>'12. NZZ'!L86</f>
        <v>0</v>
      </c>
      <c r="K86" s="70">
        <v>1064</v>
      </c>
      <c r="L86" s="189">
        <v>82895</v>
      </c>
      <c r="M86" s="71">
        <f t="shared" ref="M86:M134" si="7">G86-L86</f>
        <v>0</v>
      </c>
      <c r="O86" s="32"/>
    </row>
    <row r="87" spans="1:15" ht="1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189">
        <f t="shared" ref="G87:G92" si="8">L87</f>
        <v>82895</v>
      </c>
      <c r="H87" s="186">
        <v>0</v>
      </c>
      <c r="I87" s="283"/>
      <c r="J87" s="193">
        <f>'12. NZZ'!L87</f>
        <v>0</v>
      </c>
      <c r="K87" s="70">
        <v>1065</v>
      </c>
      <c r="L87" s="189">
        <v>82895</v>
      </c>
      <c r="M87" s="71">
        <f t="shared" si="7"/>
        <v>0</v>
      </c>
      <c r="O87" s="32"/>
    </row>
    <row r="88" spans="1:15" ht="1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189">
        <f t="shared" si="8"/>
        <v>0</v>
      </c>
      <c r="H88" s="186">
        <v>0</v>
      </c>
      <c r="I88" s="283"/>
      <c r="J88" s="193">
        <f>'12. NZZ'!L88</f>
        <v>0</v>
      </c>
      <c r="K88" s="70">
        <v>1066</v>
      </c>
      <c r="L88" s="189">
        <v>0</v>
      </c>
      <c r="M88" s="71">
        <f t="shared" si="7"/>
        <v>0</v>
      </c>
      <c r="O88" s="32"/>
    </row>
    <row r="89" spans="1:15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189">
        <f t="shared" si="8"/>
        <v>15539</v>
      </c>
      <c r="H89" s="186">
        <f>1626-180</f>
        <v>1446</v>
      </c>
      <c r="I89" s="283"/>
      <c r="J89" s="193">
        <f>'12. NZZ'!L89</f>
        <v>0</v>
      </c>
      <c r="K89" s="70">
        <v>1067</v>
      </c>
      <c r="L89" s="189">
        <v>15539</v>
      </c>
      <c r="M89" s="71">
        <f t="shared" si="7"/>
        <v>0</v>
      </c>
      <c r="O89" s="32"/>
    </row>
    <row r="90" spans="1:15" ht="1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189">
        <f t="shared" si="8"/>
        <v>39269</v>
      </c>
      <c r="H90" s="186">
        <v>0</v>
      </c>
      <c r="I90" s="283"/>
      <c r="J90" s="193">
        <f>'12. NZZ'!L90</f>
        <v>0</v>
      </c>
      <c r="K90" s="70">
        <v>1068</v>
      </c>
      <c r="L90" s="189">
        <v>39269</v>
      </c>
      <c r="M90" s="71">
        <f t="shared" si="7"/>
        <v>0</v>
      </c>
      <c r="O90" s="32"/>
    </row>
    <row r="91" spans="1:15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189">
        <f t="shared" si="8"/>
        <v>11048</v>
      </c>
      <c r="H91" s="186">
        <v>33714</v>
      </c>
      <c r="I91" s="283"/>
      <c r="J91" s="193">
        <f>'12. NZZ'!L91</f>
        <v>0</v>
      </c>
      <c r="K91" s="70">
        <v>1069</v>
      </c>
      <c r="L91" s="189">
        <v>11048</v>
      </c>
      <c r="M91" s="71">
        <f t="shared" si="7"/>
        <v>0</v>
      </c>
      <c r="O91" s="32"/>
    </row>
    <row r="92" spans="1:15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189">
        <f t="shared" si="8"/>
        <v>0</v>
      </c>
      <c r="H92" s="186">
        <v>0</v>
      </c>
      <c r="I92" s="283"/>
      <c r="J92" s="193">
        <f>'12. NZZ'!L92</f>
        <v>0</v>
      </c>
      <c r="K92" s="70">
        <v>1070</v>
      </c>
      <c r="L92" s="189">
        <v>0</v>
      </c>
      <c r="M92" s="71">
        <f t="shared" si="7"/>
        <v>0</v>
      </c>
      <c r="O92" s="32"/>
    </row>
    <row r="93" spans="1:15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218487</v>
      </c>
      <c r="H93" s="184">
        <f>IF((H73-H84)&gt;0,(H73-H84),0)</f>
        <v>84934</v>
      </c>
      <c r="I93" s="269"/>
      <c r="J93" s="193">
        <f>'12. NZZ'!L93</f>
        <v>0</v>
      </c>
      <c r="K93" s="33">
        <v>1071</v>
      </c>
      <c r="L93" s="41">
        <v>218487</v>
      </c>
      <c r="M93" s="34">
        <f t="shared" si="7"/>
        <v>0</v>
      </c>
      <c r="O93" s="32"/>
    </row>
    <row r="94" spans="1:15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184">
        <f>IF((H73-H84)&lt;0,-(H73-H84),0)</f>
        <v>0</v>
      </c>
      <c r="I94" s="269"/>
      <c r="J94" s="193">
        <f>'12. NZZ'!L94</f>
        <v>0</v>
      </c>
      <c r="K94" s="33">
        <v>1072</v>
      </c>
      <c r="L94" s="41">
        <v>0</v>
      </c>
      <c r="M94" s="34">
        <f t="shared" si="7"/>
        <v>0</v>
      </c>
      <c r="O94" s="32"/>
    </row>
    <row r="95" spans="1:15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1800234</v>
      </c>
      <c r="H95" s="184">
        <f>H96+H101+H106-H107</f>
        <v>2138387</v>
      </c>
      <c r="I95" s="269"/>
      <c r="J95" s="193">
        <f>'12. NZZ'!L95</f>
        <v>0</v>
      </c>
      <c r="K95" s="33">
        <v>1073</v>
      </c>
      <c r="L95" s="41">
        <v>1800233</v>
      </c>
      <c r="M95" s="34">
        <f t="shared" si="7"/>
        <v>1</v>
      </c>
      <c r="O95" s="32"/>
    </row>
    <row r="96" spans="1:15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1268208</v>
      </c>
      <c r="H96" s="185">
        <f>H97+H98-H99+H100</f>
        <v>1350272</v>
      </c>
      <c r="I96" s="269"/>
      <c r="J96" s="193">
        <f>'12. NZZ'!L96</f>
        <v>0</v>
      </c>
      <c r="K96" s="33">
        <v>1074</v>
      </c>
      <c r="L96" s="83">
        <v>1268207</v>
      </c>
      <c r="M96" s="34">
        <f t="shared" si="7"/>
        <v>1</v>
      </c>
      <c r="O96" s="32"/>
    </row>
    <row r="97" spans="1:15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122433-5638</f>
        <v>116795</v>
      </c>
      <c r="H97" s="186">
        <f>119293-10052-1</f>
        <v>109240</v>
      </c>
      <c r="I97" s="283">
        <v>5638</v>
      </c>
      <c r="J97" s="193">
        <f>'12. NZZ'!L97</f>
        <v>0</v>
      </c>
      <c r="K97" s="33">
        <v>1075</v>
      </c>
      <c r="L97" s="189">
        <v>122433</v>
      </c>
      <c r="M97" s="34">
        <f t="shared" si="7"/>
        <v>-5638</v>
      </c>
      <c r="O97" s="32"/>
    </row>
    <row r="98" spans="1:15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1145775-103407</f>
        <v>1042368</v>
      </c>
      <c r="H98" s="186">
        <f>1230979+1450</f>
        <v>1232429</v>
      </c>
      <c r="I98" s="283">
        <v>103407</v>
      </c>
      <c r="J98" s="193">
        <f>'12. NZZ'!L98</f>
        <v>0</v>
      </c>
      <c r="K98" s="33">
        <v>1076</v>
      </c>
      <c r="L98" s="189">
        <v>1145775</v>
      </c>
      <c r="M98" s="34">
        <f t="shared" si="7"/>
        <v>-103407</v>
      </c>
      <c r="O98" s="32"/>
    </row>
    <row r="99" spans="1:15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v>0</v>
      </c>
      <c r="H99" s="186">
        <v>0</v>
      </c>
      <c r="I99" s="283"/>
      <c r="J99" s="193">
        <f>'12. NZZ'!L99</f>
        <v>0</v>
      </c>
      <c r="K99" s="33">
        <v>1077</v>
      </c>
      <c r="L99" s="189">
        <v>0</v>
      </c>
      <c r="M99" s="34">
        <f t="shared" si="7"/>
        <v>0</v>
      </c>
      <c r="O99" s="32"/>
    </row>
    <row r="100" spans="1:15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v>109045</v>
      </c>
      <c r="H100" s="186">
        <f>8602+1</f>
        <v>8603</v>
      </c>
      <c r="I100" s="283">
        <v>109045</v>
      </c>
      <c r="J100" s="193">
        <f>'12. NZZ'!L100</f>
        <v>0</v>
      </c>
      <c r="K100" s="33">
        <v>1078</v>
      </c>
      <c r="L100" s="189">
        <v>0</v>
      </c>
      <c r="M100" s="34">
        <f t="shared" si="7"/>
        <v>109045</v>
      </c>
      <c r="O100" s="32"/>
    </row>
    <row r="101" spans="1:15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603440</v>
      </c>
      <c r="H101" s="185">
        <f>H102+H103+H104+H105</f>
        <v>808363</v>
      </c>
      <c r="I101" s="269"/>
      <c r="J101" s="193">
        <f>'12. NZZ'!L101</f>
        <v>0</v>
      </c>
      <c r="K101" s="33">
        <v>1079</v>
      </c>
      <c r="L101" s="83">
        <v>603440</v>
      </c>
      <c r="M101" s="34">
        <f t="shared" si="7"/>
        <v>0</v>
      </c>
      <c r="O101" s="32"/>
    </row>
    <row r="102" spans="1:15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189">
        <f>L102</f>
        <v>141381</v>
      </c>
      <c r="H102" s="186">
        <v>156994</v>
      </c>
      <c r="I102" s="283"/>
      <c r="J102" s="193">
        <f>'12. NZZ'!L102</f>
        <v>0</v>
      </c>
      <c r="K102" s="33">
        <v>1080</v>
      </c>
      <c r="L102" s="189">
        <v>141381</v>
      </c>
      <c r="M102" s="34">
        <f t="shared" si="7"/>
        <v>0</v>
      </c>
      <c r="O102" s="32"/>
    </row>
    <row r="103" spans="1:15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189">
        <f t="shared" ref="G103:G107" si="9">L103</f>
        <v>138882</v>
      </c>
      <c r="H103" s="186">
        <f>157614+1</f>
        <v>157615</v>
      </c>
      <c r="I103" s="283"/>
      <c r="J103" s="193">
        <f>'12. NZZ'!L103</f>
        <v>0</v>
      </c>
      <c r="K103" s="33">
        <v>1081</v>
      </c>
      <c r="L103" s="189">
        <v>138882</v>
      </c>
      <c r="M103" s="34">
        <f t="shared" si="7"/>
        <v>0</v>
      </c>
      <c r="O103" s="32"/>
    </row>
    <row r="104" spans="1:15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189">
        <f t="shared" si="9"/>
        <v>284447</v>
      </c>
      <c r="H104" s="186">
        <f>443823-1</f>
        <v>443822</v>
      </c>
      <c r="I104" s="283"/>
      <c r="J104" s="193">
        <f>'12. NZZ'!L104</f>
        <v>0</v>
      </c>
      <c r="K104" s="33">
        <v>1082</v>
      </c>
      <c r="L104" s="189">
        <v>284447</v>
      </c>
      <c r="M104" s="34">
        <f t="shared" si="7"/>
        <v>0</v>
      </c>
      <c r="O104" s="32"/>
    </row>
    <row r="105" spans="1:15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189">
        <f t="shared" si="9"/>
        <v>38730</v>
      </c>
      <c r="H105" s="186">
        <f>49933-1</f>
        <v>49932</v>
      </c>
      <c r="I105" s="283"/>
      <c r="J105" s="193">
        <f>'12. NZZ'!L105</f>
        <v>0</v>
      </c>
      <c r="K105" s="33">
        <v>1083</v>
      </c>
      <c r="L105" s="189">
        <v>38730</v>
      </c>
      <c r="M105" s="34">
        <f t="shared" si="7"/>
        <v>0</v>
      </c>
      <c r="O105" s="32"/>
    </row>
    <row r="106" spans="1:15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3">
        <f>L106</f>
        <v>40396</v>
      </c>
      <c r="H106" s="185">
        <v>44157</v>
      </c>
      <c r="I106" s="269"/>
      <c r="J106" s="193">
        <f>'12. NZZ'!L106</f>
        <v>0</v>
      </c>
      <c r="K106" s="33">
        <v>1084</v>
      </c>
      <c r="L106" s="83">
        <v>40396</v>
      </c>
      <c r="M106" s="34">
        <f t="shared" si="7"/>
        <v>0</v>
      </c>
      <c r="O106" s="32"/>
    </row>
    <row r="107" spans="1:15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3">
        <f t="shared" si="9"/>
        <v>111810</v>
      </c>
      <c r="H107" s="185">
        <f>64406-1</f>
        <v>64405</v>
      </c>
      <c r="I107" s="269"/>
      <c r="J107" s="193">
        <f>'12. NZZ'!L107</f>
        <v>0</v>
      </c>
      <c r="K107" s="33">
        <v>1085</v>
      </c>
      <c r="L107" s="83">
        <v>111810</v>
      </c>
      <c r="M107" s="34">
        <f t="shared" si="7"/>
        <v>0</v>
      </c>
      <c r="O107" s="32"/>
    </row>
    <row r="108" spans="1:15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0</v>
      </c>
      <c r="H108" s="188">
        <f>IF((H70+H93-H71-H94-H95)&gt;0,(H70+H93-H71-H94-H95),0)</f>
        <v>0</v>
      </c>
      <c r="I108" s="284"/>
      <c r="J108" s="193">
        <f>'12. NZZ'!L108</f>
        <v>0</v>
      </c>
      <c r="K108" s="33">
        <v>1086</v>
      </c>
      <c r="L108" s="191">
        <v>0</v>
      </c>
      <c r="M108" s="34">
        <f t="shared" si="7"/>
        <v>0</v>
      </c>
      <c r="O108" s="32"/>
    </row>
    <row r="109" spans="1:15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136413</v>
      </c>
      <c r="H109" s="188">
        <f>IF((H70+H93-H71-H94-H95)&lt;0,-(H70+H93-H71-H94-H95),0)</f>
        <v>478468</v>
      </c>
      <c r="I109" s="284"/>
      <c r="J109" s="193">
        <f>'12. NZZ'!L109</f>
        <v>0</v>
      </c>
      <c r="K109" s="33">
        <v>1087</v>
      </c>
      <c r="L109" s="191">
        <v>136411</v>
      </c>
      <c r="M109" s="34">
        <f t="shared" si="7"/>
        <v>2</v>
      </c>
      <c r="O109" s="32"/>
    </row>
    <row r="110" spans="1:15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3">
        <f>L110</f>
        <v>110443</v>
      </c>
      <c r="H110" s="185">
        <f>141747+1</f>
        <v>141748</v>
      </c>
      <c r="I110" s="269"/>
      <c r="J110" s="193">
        <f>'12. NZZ'!L110</f>
        <v>0</v>
      </c>
      <c r="K110" s="33">
        <v>1088</v>
      </c>
      <c r="L110" s="83">
        <v>110443</v>
      </c>
      <c r="M110" s="34">
        <f t="shared" si="7"/>
        <v>0</v>
      </c>
      <c r="O110" s="32"/>
    </row>
    <row r="111" spans="1:15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3">
        <f t="shared" ref="G111:G113" si="10">L111</f>
        <v>20151</v>
      </c>
      <c r="H111" s="185">
        <f>25335-1</f>
        <v>25334</v>
      </c>
      <c r="I111" s="269"/>
      <c r="J111" s="193">
        <f>'12. NZZ'!L111</f>
        <v>0</v>
      </c>
      <c r="K111" s="33">
        <v>1089</v>
      </c>
      <c r="L111" s="83">
        <v>20151</v>
      </c>
      <c r="M111" s="34">
        <f t="shared" si="7"/>
        <v>0</v>
      </c>
      <c r="O111" s="32"/>
    </row>
    <row r="112" spans="1:15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3">
        <f t="shared" si="10"/>
        <v>520418</v>
      </c>
      <c r="H112" s="185">
        <f>553024-2</f>
        <v>553022</v>
      </c>
      <c r="I112" s="269"/>
      <c r="J112" s="193">
        <f>'12. NZZ'!L112</f>
        <v>0</v>
      </c>
      <c r="K112" s="33">
        <v>1090</v>
      </c>
      <c r="L112" s="83">
        <v>520418</v>
      </c>
      <c r="M112" s="34">
        <f t="shared" si="7"/>
        <v>0</v>
      </c>
      <c r="O112" s="32"/>
    </row>
    <row r="113" spans="1:15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3">
        <f t="shared" si="10"/>
        <v>508423</v>
      </c>
      <c r="H113" s="185">
        <f>573343+1</f>
        <v>573344</v>
      </c>
      <c r="I113" s="269"/>
      <c r="J113" s="193">
        <f>'12. NZZ'!L113</f>
        <v>0</v>
      </c>
      <c r="K113" s="33">
        <v>1091</v>
      </c>
      <c r="L113" s="83">
        <v>508423</v>
      </c>
      <c r="M113" s="34">
        <f t="shared" si="7"/>
        <v>0</v>
      </c>
      <c r="O113" s="32"/>
    </row>
    <row r="114" spans="1:15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3">
        <f>L114</f>
        <v>48427</v>
      </c>
      <c r="H114" s="185">
        <f>35000+1</f>
        <v>35001</v>
      </c>
      <c r="I114" s="269"/>
      <c r="J114" s="193">
        <f>'12. NZZ'!L114</f>
        <v>0</v>
      </c>
      <c r="K114" s="33">
        <v>1092</v>
      </c>
      <c r="L114" s="83">
        <v>48427</v>
      </c>
      <c r="M114" s="34">
        <f t="shared" si="7"/>
        <v>0</v>
      </c>
      <c r="O114" s="32"/>
    </row>
    <row r="115" spans="1:15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3">
        <f>85998-2</f>
        <v>85996</v>
      </c>
      <c r="H115" s="185">
        <f>14467-2</f>
        <v>14465</v>
      </c>
      <c r="I115" s="269"/>
      <c r="J115" s="193">
        <f>'12. NZZ'!L115</f>
        <v>0</v>
      </c>
      <c r="K115" s="33">
        <v>1093</v>
      </c>
      <c r="L115" s="83">
        <v>85998</v>
      </c>
      <c r="M115" s="34">
        <f t="shared" si="7"/>
        <v>-2</v>
      </c>
      <c r="O115" s="32"/>
    </row>
    <row r="116" spans="1:15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0</v>
      </c>
      <c r="H116" s="188">
        <f>IF((H108+H110+H112+H114-H109-H111-H113-H115)&gt;0,(H108+H110+H112+H114-H109-H111-H113-H115),0)</f>
        <v>0</v>
      </c>
      <c r="I116" s="284"/>
      <c r="J116" s="193">
        <f>'12. NZZ'!L116</f>
        <v>0</v>
      </c>
      <c r="K116" s="33">
        <v>1094</v>
      </c>
      <c r="L116" s="191">
        <v>0</v>
      </c>
      <c r="M116" s="34">
        <f t="shared" si="7"/>
        <v>0</v>
      </c>
      <c r="O116" s="32"/>
    </row>
    <row r="117" spans="1:15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71695</v>
      </c>
      <c r="H117" s="184">
        <f>IF((H108+H110+H112+H114-H109-H111-H113-H115)&lt;0,-(H108+H110+H112+H114-H109-H111-H113-H115),0)</f>
        <v>361840</v>
      </c>
      <c r="I117" s="269"/>
      <c r="J117" s="193">
        <f>'12. NZZ'!L117</f>
        <v>0</v>
      </c>
      <c r="K117" s="33">
        <v>1095</v>
      </c>
      <c r="L117" s="41">
        <v>71695</v>
      </c>
      <c r="M117" s="34">
        <f t="shared" si="7"/>
        <v>0</v>
      </c>
      <c r="O117" s="32"/>
    </row>
    <row r="118" spans="1:15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3">
        <f>L118</f>
        <v>0</v>
      </c>
      <c r="H118" s="185">
        <f>13946-13946</f>
        <v>0</v>
      </c>
      <c r="I118" s="269"/>
      <c r="J118" s="193">
        <f>'12. NZZ'!L118</f>
        <v>0</v>
      </c>
      <c r="K118" s="33">
        <v>1096</v>
      </c>
      <c r="L118" s="83">
        <v>0</v>
      </c>
      <c r="M118" s="34">
        <f t="shared" si="7"/>
        <v>0</v>
      </c>
      <c r="O118" s="32"/>
    </row>
    <row r="119" spans="1:15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3">
        <f>L119</f>
        <v>3550</v>
      </c>
      <c r="H119" s="185">
        <v>0</v>
      </c>
      <c r="I119" s="269"/>
      <c r="J119" s="193">
        <f>'12. NZZ'!L119</f>
        <v>0</v>
      </c>
      <c r="K119" s="33">
        <v>1097</v>
      </c>
      <c r="L119" s="83">
        <v>3550</v>
      </c>
      <c r="M119" s="34">
        <f t="shared" si="7"/>
        <v>0</v>
      </c>
      <c r="O119" s="32"/>
    </row>
    <row r="120" spans="1:15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3">
        <f>IF((G116+G118-G117-G119)&gt;0,(G116+G118-G117-G119),0)</f>
        <v>0</v>
      </c>
      <c r="H120" s="185">
        <f>IF((H116+H118-H117-H119)&gt;0,(H116+H118-H117-H119),0)</f>
        <v>0</v>
      </c>
      <c r="I120" s="269"/>
      <c r="J120" s="193">
        <f>'12. NZZ'!L120</f>
        <v>0</v>
      </c>
      <c r="K120" s="33">
        <v>1098</v>
      </c>
      <c r="L120" s="83">
        <v>0</v>
      </c>
      <c r="M120" s="34">
        <f t="shared" si="7"/>
        <v>0</v>
      </c>
      <c r="O120" s="32"/>
    </row>
    <row r="121" spans="1:15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3">
        <f>IF((G116+G118-G117-G119)&lt;0,-(G116+G118-G117-G119),0)</f>
        <v>75245</v>
      </c>
      <c r="H121" s="185">
        <f>IF((H116+H118-H117-H119)&lt;0,-(H116+H118-H117-H119),0)</f>
        <v>361840</v>
      </c>
      <c r="I121" s="269"/>
      <c r="J121" s="193">
        <f>'12. NZZ'!L121</f>
        <v>0</v>
      </c>
      <c r="K121" s="33">
        <v>1099</v>
      </c>
      <c r="L121" s="83">
        <v>75245</v>
      </c>
      <c r="M121" s="34">
        <f t="shared" si="7"/>
        <v>0</v>
      </c>
      <c r="O121" s="32"/>
    </row>
    <row r="122" spans="1:15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189"/>
      <c r="H122" s="186"/>
      <c r="I122" s="283"/>
      <c r="J122" s="193">
        <f>'12. NZZ'!L122</f>
        <v>0</v>
      </c>
      <c r="K122" s="43"/>
      <c r="L122" s="189"/>
      <c r="M122" s="45">
        <f t="shared" si="7"/>
        <v>0</v>
      </c>
      <c r="O122" s="32"/>
    </row>
    <row r="123" spans="1:15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189">
        <f t="shared" ref="G123:G125" si="11">L123</f>
        <v>0</v>
      </c>
      <c r="H123" s="186">
        <v>0</v>
      </c>
      <c r="I123" s="283"/>
      <c r="J123" s="193">
        <f>'12. NZZ'!L123</f>
        <v>0</v>
      </c>
      <c r="K123" s="33">
        <v>1100</v>
      </c>
      <c r="L123" s="189">
        <v>0</v>
      </c>
      <c r="M123" s="34">
        <f t="shared" si="7"/>
        <v>0</v>
      </c>
      <c r="O123" s="32"/>
    </row>
    <row r="124" spans="1:15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189">
        <f t="shared" si="11"/>
        <v>0</v>
      </c>
      <c r="H124" s="186">
        <v>8054</v>
      </c>
      <c r="I124" s="283"/>
      <c r="J124" s="193">
        <f>'12. NZZ'!L124</f>
        <v>0</v>
      </c>
      <c r="K124" s="33">
        <v>1101</v>
      </c>
      <c r="L124" s="189">
        <v>0</v>
      </c>
      <c r="M124" s="34">
        <f t="shared" si="7"/>
        <v>0</v>
      </c>
      <c r="O124" s="32"/>
    </row>
    <row r="125" spans="1:15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189">
        <f t="shared" si="11"/>
        <v>0</v>
      </c>
      <c r="H125" s="186">
        <v>0</v>
      </c>
      <c r="I125" s="283"/>
      <c r="J125" s="193">
        <f>'12. NZZ'!L125</f>
        <v>0</v>
      </c>
      <c r="K125" s="33">
        <v>1102</v>
      </c>
      <c r="L125" s="189">
        <v>0</v>
      </c>
      <c r="M125" s="34">
        <f t="shared" si="7"/>
        <v>0</v>
      </c>
      <c r="O125" s="32"/>
    </row>
    <row r="126" spans="1:15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191" t="str">
        <f>IF((G120-G121-G123+G124-G125)&gt;0,G120-G121-G123+G124-G125,"0")</f>
        <v>0</v>
      </c>
      <c r="H126" s="188" t="s">
        <v>330</v>
      </c>
      <c r="I126" s="284"/>
      <c r="J126" s="193">
        <f>'12. NZZ'!L126</f>
        <v>0</v>
      </c>
      <c r="K126" s="33">
        <v>1103</v>
      </c>
      <c r="L126" s="191">
        <v>0</v>
      </c>
      <c r="M126" s="34">
        <f t="shared" si="7"/>
        <v>0</v>
      </c>
      <c r="O126" s="32"/>
    </row>
    <row r="127" spans="1:15">
      <c r="A127" s="29"/>
      <c r="B127" s="27"/>
      <c r="C127" s="27"/>
      <c r="D127" s="53" t="s">
        <v>272</v>
      </c>
      <c r="E127" s="29" t="s">
        <v>284</v>
      </c>
      <c r="F127" s="30"/>
      <c r="G127" s="41"/>
      <c r="H127" s="184"/>
      <c r="I127" s="269"/>
      <c r="J127" s="193">
        <f>'12. NZZ'!L127</f>
        <v>0</v>
      </c>
      <c r="K127" s="33">
        <v>1104</v>
      </c>
      <c r="L127" s="41">
        <v>0</v>
      </c>
      <c r="M127" s="34">
        <f t="shared" si="7"/>
        <v>0</v>
      </c>
      <c r="O127" s="32"/>
    </row>
    <row r="128" spans="1:15">
      <c r="A128" s="29"/>
      <c r="B128" s="27"/>
      <c r="C128" s="27"/>
      <c r="D128" s="53" t="s">
        <v>273</v>
      </c>
      <c r="E128" s="29" t="s">
        <v>285</v>
      </c>
      <c r="F128" s="30"/>
      <c r="G128" s="41"/>
      <c r="H128" s="184"/>
      <c r="I128" s="269"/>
      <c r="J128" s="193">
        <f>'12. NZZ'!L128</f>
        <v>0</v>
      </c>
      <c r="K128" s="33">
        <v>1105</v>
      </c>
      <c r="L128" s="41">
        <v>0</v>
      </c>
      <c r="M128" s="34">
        <f t="shared" si="7"/>
        <v>0</v>
      </c>
      <c r="O128" s="32"/>
    </row>
    <row r="129" spans="1:16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>
        <f>IF((G120-G121-G123+G124-G125)&lt;0,-(G120-G121-G123+G124-G125),"0")</f>
        <v>75245</v>
      </c>
      <c r="H129" s="188">
        <f>IF((H120-H121-H123+H124-H125)&lt;0,-(H120-H121-H123+H124-H125),"0")</f>
        <v>353786</v>
      </c>
      <c r="I129" s="284"/>
      <c r="J129" s="193">
        <f>'12. NZZ'!L129</f>
        <v>0</v>
      </c>
      <c r="K129" s="33">
        <v>1106</v>
      </c>
      <c r="L129" s="191">
        <v>75245</v>
      </c>
      <c r="M129" s="34">
        <f t="shared" si="7"/>
        <v>0</v>
      </c>
      <c r="O129" s="32"/>
      <c r="P129" s="188">
        <f>362021-56-123</f>
        <v>361842</v>
      </c>
    </row>
    <row r="130" spans="1:16">
      <c r="A130" s="29"/>
      <c r="B130" s="27"/>
      <c r="C130" s="27"/>
      <c r="D130" s="39" t="s">
        <v>274</v>
      </c>
      <c r="E130" s="29" t="s">
        <v>287</v>
      </c>
      <c r="F130" s="30"/>
      <c r="G130" s="189">
        <v>0</v>
      </c>
      <c r="H130" s="186">
        <v>0</v>
      </c>
      <c r="I130" s="283"/>
      <c r="J130" s="193">
        <f>'12. NZZ'!L130</f>
        <v>0</v>
      </c>
      <c r="K130" s="33">
        <v>1107</v>
      </c>
      <c r="L130" s="189">
        <v>0</v>
      </c>
      <c r="M130" s="34">
        <f t="shared" si="7"/>
        <v>0</v>
      </c>
      <c r="O130" s="32"/>
      <c r="P130" s="188">
        <v>75245</v>
      </c>
    </row>
    <row r="131" spans="1:16">
      <c r="A131" s="29"/>
      <c r="B131" s="27"/>
      <c r="C131" s="27"/>
      <c r="D131" s="39" t="s">
        <v>275</v>
      </c>
      <c r="E131" s="29" t="s">
        <v>288</v>
      </c>
      <c r="F131" s="30"/>
      <c r="G131" s="189">
        <v>0</v>
      </c>
      <c r="H131" s="186">
        <v>0</v>
      </c>
      <c r="I131" s="283"/>
      <c r="J131" s="193">
        <f>'12. NZZ'!L131</f>
        <v>0</v>
      </c>
      <c r="K131" s="33">
        <v>1108</v>
      </c>
      <c r="L131" s="189">
        <v>0</v>
      </c>
      <c r="M131" s="34">
        <f t="shared" si="7"/>
        <v>0</v>
      </c>
      <c r="O131" s="32"/>
    </row>
    <row r="132" spans="1:16">
      <c r="A132" s="29"/>
      <c r="B132" s="27" t="s">
        <v>93</v>
      </c>
      <c r="C132" s="27"/>
      <c r="D132" s="28" t="s">
        <v>94</v>
      </c>
      <c r="E132" s="29"/>
      <c r="F132" s="30"/>
      <c r="G132" s="189">
        <v>0</v>
      </c>
      <c r="H132" s="186">
        <v>0</v>
      </c>
      <c r="I132" s="283"/>
      <c r="J132" s="193">
        <f>'12. NZZ'!L132</f>
        <v>0</v>
      </c>
      <c r="K132" s="33">
        <v>1109</v>
      </c>
      <c r="L132" s="189">
        <v>0</v>
      </c>
      <c r="M132" s="34">
        <f t="shared" si="7"/>
        <v>0</v>
      </c>
      <c r="O132" s="32"/>
    </row>
    <row r="133" spans="1:16">
      <c r="A133" s="29"/>
      <c r="B133" s="27"/>
      <c r="C133" s="27"/>
      <c r="D133" s="39" t="s">
        <v>276</v>
      </c>
      <c r="E133" s="29" t="s">
        <v>289</v>
      </c>
      <c r="F133" s="30"/>
      <c r="G133" s="189">
        <v>0</v>
      </c>
      <c r="H133" s="186">
        <v>0</v>
      </c>
      <c r="I133" s="283"/>
      <c r="J133" s="193">
        <f>'12. NZZ'!L133</f>
        <v>0</v>
      </c>
      <c r="K133" s="33">
        <v>1110</v>
      </c>
      <c r="L133" s="189">
        <v>0</v>
      </c>
      <c r="M133" s="34">
        <f t="shared" si="7"/>
        <v>0</v>
      </c>
      <c r="O133" s="32"/>
    </row>
    <row r="134" spans="1:16" ht="25.5">
      <c r="A134" s="29"/>
      <c r="B134" s="27"/>
      <c r="C134" s="27"/>
      <c r="D134" s="39" t="s">
        <v>277</v>
      </c>
      <c r="E134" s="29" t="s">
        <v>290</v>
      </c>
      <c r="F134" s="30"/>
      <c r="G134" s="189">
        <v>0</v>
      </c>
      <c r="H134" s="186">
        <v>0</v>
      </c>
      <c r="I134" s="283"/>
      <c r="J134" s="193">
        <f>'12. NZZ'!L134</f>
        <v>0</v>
      </c>
      <c r="K134" s="33">
        <v>1111</v>
      </c>
      <c r="L134" s="189">
        <v>0</v>
      </c>
      <c r="M134" s="34">
        <f t="shared" si="7"/>
        <v>0</v>
      </c>
      <c r="O134" s="32"/>
    </row>
    <row r="135" spans="1:16" ht="13.5" customHeight="1">
      <c r="H135" s="32"/>
      <c r="I135" s="92"/>
      <c r="K135" s="33"/>
      <c r="L135" s="57"/>
      <c r="O135" s="32"/>
    </row>
    <row r="136" spans="1:16">
      <c r="O136" s="32"/>
    </row>
    <row r="137" spans="1:16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I137" s="239"/>
      <c r="O137" s="32"/>
    </row>
    <row r="138" spans="1:16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I138" s="240"/>
      <c r="O138" s="32"/>
    </row>
    <row r="139" spans="1:16">
      <c r="A139" s="1"/>
      <c r="B139" s="2"/>
      <c r="C139" s="58"/>
      <c r="D139" s="59"/>
      <c r="E139" s="60"/>
      <c r="F139" s="60"/>
      <c r="G139" s="61"/>
      <c r="H139" s="61"/>
      <c r="I139" s="61"/>
      <c r="O139" s="32"/>
    </row>
    <row r="140" spans="1:16">
      <c r="A140" s="62"/>
      <c r="B140" s="63"/>
      <c r="C140" s="64"/>
      <c r="D140" s="64"/>
      <c r="E140" s="64"/>
      <c r="F140" s="64"/>
      <c r="G140" s="65"/>
      <c r="H140" s="65"/>
      <c r="I140" s="65"/>
      <c r="O140" s="32"/>
    </row>
    <row r="141" spans="1:16">
      <c r="A141" s="1"/>
      <c r="B141" s="2"/>
      <c r="C141" s="58"/>
      <c r="D141" s="59"/>
      <c r="E141" s="60"/>
      <c r="F141" s="60"/>
      <c r="G141" s="66"/>
      <c r="H141" s="66"/>
      <c r="I141" s="66"/>
      <c r="O141" s="32"/>
    </row>
    <row r="142" spans="1:16">
      <c r="A142" s="1"/>
      <c r="B142" s="2"/>
      <c r="C142" s="58"/>
      <c r="D142" s="59"/>
      <c r="E142" s="60"/>
      <c r="F142" s="60"/>
      <c r="G142" s="61"/>
      <c r="H142" s="61"/>
      <c r="I142" s="61"/>
      <c r="O142" s="32"/>
    </row>
    <row r="143" spans="1:16">
      <c r="A143" s="1"/>
      <c r="B143" s="2"/>
      <c r="C143" s="58"/>
      <c r="D143" s="59"/>
      <c r="E143" s="60"/>
      <c r="F143" s="60"/>
      <c r="G143" s="61"/>
      <c r="H143" s="61"/>
      <c r="I143" s="61"/>
      <c r="O143" s="32"/>
    </row>
    <row r="144" spans="1:16">
      <c r="A144" s="1"/>
      <c r="B144" s="2"/>
      <c r="C144" s="58"/>
      <c r="D144" s="59"/>
      <c r="E144" s="60"/>
      <c r="F144" s="60"/>
      <c r="G144" s="61"/>
      <c r="H144" s="61"/>
      <c r="I144" s="61"/>
      <c r="O144" s="32"/>
    </row>
    <row r="145" spans="1:15">
      <c r="A145" s="1"/>
      <c r="B145" s="2"/>
      <c r="C145" s="58"/>
      <c r="D145" s="59"/>
      <c r="E145" s="60"/>
      <c r="F145" s="60"/>
      <c r="G145" s="61"/>
      <c r="H145" s="61"/>
      <c r="I145" s="61"/>
      <c r="O145" s="32"/>
    </row>
    <row r="146" spans="1:15">
      <c r="A146" s="1"/>
      <c r="B146" s="2"/>
      <c r="C146" s="58"/>
      <c r="D146" s="59"/>
      <c r="E146" s="60"/>
      <c r="F146" s="60"/>
      <c r="G146" s="61"/>
      <c r="H146" s="61"/>
      <c r="I146" s="61"/>
      <c r="O146" s="32"/>
    </row>
    <row r="147" spans="1:15">
      <c r="A147" s="1"/>
      <c r="B147" s="2"/>
      <c r="C147" s="58"/>
      <c r="D147" s="59"/>
      <c r="E147" s="60"/>
      <c r="F147" s="60"/>
      <c r="G147" s="61"/>
      <c r="H147" s="61"/>
      <c r="I147" s="61"/>
      <c r="O147" s="32"/>
    </row>
    <row r="148" spans="1:15">
      <c r="A148" s="1"/>
      <c r="B148" s="2"/>
      <c r="C148" s="58"/>
      <c r="D148" s="59"/>
      <c r="E148" s="60"/>
      <c r="F148" s="60"/>
      <c r="G148" s="67"/>
      <c r="H148" s="61"/>
      <c r="I148" s="61"/>
      <c r="O148" s="32"/>
    </row>
    <row r="149" spans="1:15">
      <c r="A149" s="1"/>
      <c r="B149" s="2"/>
      <c r="C149" s="58"/>
      <c r="D149" s="59"/>
      <c r="E149" s="60"/>
      <c r="F149" s="60"/>
      <c r="G149" s="61"/>
      <c r="H149" s="61"/>
      <c r="I149" s="61"/>
      <c r="O149" s="32"/>
    </row>
    <row r="150" spans="1:15">
      <c r="A150" s="1"/>
      <c r="B150" s="2"/>
      <c r="C150" s="58"/>
      <c r="D150" s="59"/>
      <c r="E150" s="60"/>
      <c r="F150" s="60"/>
      <c r="G150" s="61"/>
      <c r="H150" s="61"/>
      <c r="I150" s="61"/>
      <c r="O150" s="32"/>
    </row>
    <row r="151" spans="1:15">
      <c r="A151" s="1"/>
      <c r="B151" s="2"/>
      <c r="C151" s="58"/>
      <c r="D151" s="59"/>
      <c r="E151" s="60"/>
      <c r="F151" s="60"/>
      <c r="G151" s="61"/>
      <c r="H151" s="61"/>
      <c r="I151" s="61"/>
      <c r="O151" s="32"/>
    </row>
    <row r="152" spans="1:15">
      <c r="A152" s="1"/>
      <c r="B152" s="2"/>
      <c r="C152" s="58"/>
      <c r="D152" s="59"/>
      <c r="E152" s="60"/>
      <c r="F152" s="60"/>
      <c r="G152" s="61"/>
      <c r="H152" s="61"/>
      <c r="I152" s="61"/>
      <c r="O152" s="32"/>
    </row>
    <row r="153" spans="1:15">
      <c r="A153" s="1"/>
      <c r="B153" s="2"/>
      <c r="C153" s="58"/>
      <c r="D153" s="59"/>
      <c r="E153" s="60"/>
      <c r="F153" s="60"/>
      <c r="G153" s="61"/>
      <c r="H153" s="61"/>
      <c r="I153" s="61"/>
      <c r="O153" s="32"/>
    </row>
    <row r="154" spans="1:15">
      <c r="A154" s="1"/>
      <c r="B154" s="2"/>
      <c r="C154" s="58"/>
      <c r="D154" s="59"/>
      <c r="E154" s="60"/>
      <c r="F154" s="60"/>
      <c r="G154" s="61"/>
      <c r="H154" s="61"/>
      <c r="I154" s="61"/>
      <c r="O154" s="32"/>
    </row>
    <row r="155" spans="1:15">
      <c r="A155" s="1"/>
      <c r="B155" s="2"/>
      <c r="C155" s="58"/>
      <c r="D155" s="59"/>
      <c r="E155" s="60"/>
      <c r="F155" s="60"/>
      <c r="G155" s="61"/>
      <c r="H155" s="61"/>
      <c r="I155" s="61"/>
      <c r="O155" s="32"/>
    </row>
    <row r="156" spans="1:15">
      <c r="A156" s="1"/>
      <c r="B156" s="2"/>
      <c r="C156" s="58"/>
      <c r="D156" s="59"/>
      <c r="E156" s="60"/>
      <c r="F156" s="60"/>
      <c r="G156" s="61"/>
      <c r="H156" s="61"/>
      <c r="I156" s="61"/>
      <c r="O156" s="32"/>
    </row>
    <row r="157" spans="1:15">
      <c r="A157" s="1"/>
      <c r="B157" s="2"/>
      <c r="C157" s="58"/>
      <c r="D157" s="59"/>
      <c r="E157" s="60"/>
      <c r="F157" s="60"/>
      <c r="G157" s="61"/>
      <c r="H157" s="61"/>
      <c r="I157" s="61"/>
      <c r="O157" s="32"/>
    </row>
    <row r="158" spans="1:15">
      <c r="A158" s="1"/>
      <c r="B158" s="2"/>
      <c r="C158" s="58"/>
      <c r="D158" s="59"/>
      <c r="E158" s="60"/>
      <c r="F158" s="60"/>
      <c r="G158" s="61"/>
      <c r="H158" s="61"/>
      <c r="I158" s="61"/>
      <c r="O158" s="32"/>
    </row>
    <row r="159" spans="1:15">
      <c r="A159" s="1"/>
      <c r="B159" s="2"/>
      <c r="C159" s="58"/>
      <c r="D159" s="59"/>
      <c r="E159" s="60"/>
      <c r="F159" s="60"/>
      <c r="G159" s="61"/>
      <c r="H159" s="61"/>
      <c r="I159" s="61"/>
      <c r="O159" s="32"/>
    </row>
    <row r="160" spans="1:15">
      <c r="A160" s="1"/>
      <c r="B160" s="2"/>
      <c r="C160" s="58"/>
      <c r="D160" s="59"/>
      <c r="E160" s="60"/>
      <c r="F160" s="60"/>
      <c r="G160" s="61"/>
      <c r="H160" s="61"/>
      <c r="I160" s="61"/>
      <c r="O160" s="32"/>
    </row>
    <row r="161" spans="1:15">
      <c r="A161" s="1"/>
      <c r="B161" s="2"/>
      <c r="C161" s="58"/>
      <c r="D161" s="59"/>
      <c r="E161" s="60"/>
      <c r="F161" s="60"/>
      <c r="G161" s="61"/>
      <c r="H161" s="61"/>
      <c r="I161" s="61"/>
      <c r="O161" s="32"/>
    </row>
    <row r="162" spans="1:15">
      <c r="A162" s="1"/>
      <c r="B162" s="2"/>
      <c r="C162" s="58"/>
      <c r="D162" s="59"/>
      <c r="E162" s="60"/>
      <c r="F162" s="60"/>
      <c r="G162" s="61"/>
      <c r="H162" s="61"/>
      <c r="I162" s="61"/>
      <c r="O162" s="32"/>
    </row>
    <row r="163" spans="1:15">
      <c r="A163" s="1"/>
      <c r="B163" s="2"/>
      <c r="C163" s="58"/>
      <c r="D163" s="59"/>
      <c r="E163" s="60"/>
      <c r="F163" s="60"/>
      <c r="G163" s="61"/>
      <c r="H163" s="61"/>
      <c r="I163" s="61"/>
      <c r="O163" s="32"/>
    </row>
    <row r="164" spans="1:15">
      <c r="A164" s="1"/>
      <c r="B164" s="2"/>
      <c r="C164" s="58"/>
      <c r="D164" s="59"/>
      <c r="E164" s="60"/>
      <c r="F164" s="60"/>
      <c r="G164" s="61"/>
      <c r="H164" s="61"/>
      <c r="I164" s="61"/>
      <c r="O164" s="32"/>
    </row>
    <row r="165" spans="1:15">
      <c r="A165" s="1"/>
      <c r="B165" s="2"/>
      <c r="C165" s="58"/>
      <c r="D165" s="59"/>
      <c r="E165" s="60"/>
      <c r="F165" s="60"/>
      <c r="G165" s="61"/>
      <c r="H165" s="61"/>
      <c r="I165" s="61"/>
      <c r="O165" s="32"/>
    </row>
    <row r="166" spans="1:15">
      <c r="A166" s="1"/>
      <c r="B166" s="2"/>
      <c r="C166" s="3"/>
      <c r="D166" s="68"/>
      <c r="E166" s="4"/>
      <c r="F166" s="4"/>
      <c r="O166" s="32"/>
    </row>
    <row r="167" spans="1:15">
      <c r="A167" s="1"/>
      <c r="B167" s="2"/>
      <c r="C167" s="3"/>
      <c r="D167" s="68"/>
      <c r="E167" s="4"/>
      <c r="F167" s="4"/>
      <c r="O167" s="32"/>
    </row>
    <row r="168" spans="1:15">
      <c r="A168" s="1"/>
      <c r="B168" s="2"/>
      <c r="C168" s="3"/>
      <c r="D168" s="68"/>
      <c r="E168" s="4"/>
      <c r="F168" s="4"/>
      <c r="O168" s="32"/>
    </row>
    <row r="169" spans="1:15">
      <c r="A169" s="1"/>
      <c r="B169" s="2"/>
      <c r="C169" s="3"/>
      <c r="D169" s="68"/>
      <c r="E169" s="4"/>
      <c r="F169" s="4"/>
      <c r="O169" s="32"/>
    </row>
    <row r="170" spans="1:15">
      <c r="A170" s="1"/>
      <c r="B170" s="2"/>
      <c r="C170" s="3"/>
      <c r="D170" s="68"/>
      <c r="E170" s="4"/>
      <c r="F170" s="4"/>
      <c r="O170" s="32"/>
    </row>
    <row r="171" spans="1:15">
      <c r="A171" s="1"/>
      <c r="B171" s="2"/>
      <c r="C171" s="3"/>
      <c r="D171" s="68"/>
      <c r="E171" s="4"/>
      <c r="F171" s="4"/>
      <c r="O171" s="32"/>
    </row>
    <row r="172" spans="1:15">
      <c r="A172" s="1"/>
      <c r="B172" s="2"/>
      <c r="C172" s="3"/>
      <c r="D172" s="68"/>
      <c r="E172" s="4"/>
      <c r="F172" s="4"/>
      <c r="O172" s="32"/>
    </row>
    <row r="173" spans="1:15">
      <c r="A173" s="1"/>
      <c r="B173" s="2"/>
      <c r="C173" s="3"/>
      <c r="D173" s="68"/>
      <c r="E173" s="4"/>
      <c r="F173" s="4"/>
      <c r="O173" s="32"/>
    </row>
    <row r="174" spans="1:15">
      <c r="A174" s="1"/>
      <c r="B174" s="2"/>
      <c r="C174" s="3"/>
      <c r="D174" s="68"/>
      <c r="E174" s="4"/>
      <c r="F174" s="4"/>
      <c r="O174" s="32"/>
    </row>
    <row r="175" spans="1:15">
      <c r="A175" s="1"/>
      <c r="B175" s="2"/>
      <c r="C175" s="3"/>
      <c r="D175" s="68"/>
      <c r="E175" s="4"/>
      <c r="F175" s="4"/>
      <c r="O175" s="32"/>
    </row>
    <row r="176" spans="1:15">
      <c r="A176" s="1"/>
      <c r="B176" s="2"/>
      <c r="C176" s="3"/>
      <c r="D176" s="68"/>
      <c r="E176" s="4"/>
      <c r="F176" s="4"/>
      <c r="O176" s="32"/>
    </row>
    <row r="177" spans="1:15">
      <c r="A177" s="1"/>
      <c r="B177" s="2"/>
      <c r="C177" s="3"/>
      <c r="D177" s="68"/>
      <c r="E177" s="4"/>
      <c r="F177" s="4"/>
      <c r="O177" s="32"/>
    </row>
    <row r="178" spans="1:15">
      <c r="A178" s="1"/>
      <c r="B178" s="2"/>
      <c r="C178" s="3"/>
      <c r="D178" s="68"/>
      <c r="E178" s="4"/>
      <c r="F178" s="4"/>
      <c r="O178" s="32"/>
    </row>
    <row r="179" spans="1:15">
      <c r="A179" s="1"/>
      <c r="B179" s="2"/>
      <c r="C179" s="3"/>
      <c r="D179" s="68"/>
      <c r="E179" s="4"/>
      <c r="F179" s="4"/>
      <c r="O179" s="32"/>
    </row>
    <row r="180" spans="1:15">
      <c r="A180" s="1"/>
      <c r="B180" s="2"/>
      <c r="C180" s="3"/>
      <c r="D180" s="68"/>
      <c r="E180" s="4"/>
      <c r="F180" s="4"/>
      <c r="O180" s="32"/>
    </row>
    <row r="181" spans="1:15">
      <c r="A181" s="1"/>
      <c r="B181" s="2"/>
      <c r="C181" s="3"/>
      <c r="D181" s="68"/>
      <c r="E181" s="4"/>
      <c r="F181" s="4"/>
      <c r="O181" s="32"/>
    </row>
    <row r="182" spans="1:15">
      <c r="A182" s="1"/>
      <c r="B182" s="2"/>
      <c r="C182" s="3"/>
      <c r="D182" s="68"/>
      <c r="E182" s="4"/>
      <c r="F182" s="4"/>
      <c r="O182" s="32"/>
    </row>
    <row r="183" spans="1:15">
      <c r="A183" s="1"/>
      <c r="B183" s="2"/>
      <c r="C183" s="3"/>
      <c r="D183" s="68"/>
      <c r="E183" s="4"/>
      <c r="F183" s="4"/>
      <c r="O183" s="32"/>
    </row>
    <row r="184" spans="1:15">
      <c r="A184" s="1"/>
      <c r="B184" s="2"/>
      <c r="C184" s="3"/>
      <c r="D184" s="68"/>
      <c r="E184" s="4"/>
      <c r="F184" s="4"/>
      <c r="O184" s="32"/>
    </row>
    <row r="185" spans="1:15">
      <c r="A185" s="1"/>
      <c r="B185" s="2"/>
      <c r="C185" s="3"/>
      <c r="D185" s="68"/>
      <c r="E185" s="4"/>
      <c r="F185" s="4"/>
      <c r="O185" s="32"/>
    </row>
    <row r="186" spans="1:15">
      <c r="A186" s="1"/>
      <c r="B186" s="2"/>
      <c r="C186" s="3"/>
      <c r="D186" s="68"/>
      <c r="E186" s="4"/>
      <c r="F186" s="4"/>
      <c r="O186" s="32"/>
    </row>
    <row r="187" spans="1:15">
      <c r="A187" s="1"/>
      <c r="B187" s="2"/>
      <c r="C187" s="3"/>
      <c r="D187" s="68"/>
      <c r="E187" s="4"/>
      <c r="F187" s="4"/>
      <c r="O187" s="32"/>
    </row>
    <row r="188" spans="1:15">
      <c r="A188" s="1"/>
      <c r="B188" s="2"/>
      <c r="C188" s="3"/>
      <c r="D188" s="68"/>
      <c r="E188" s="4"/>
      <c r="F188" s="4"/>
    </row>
    <row r="189" spans="1:15">
      <c r="A189" s="1"/>
      <c r="B189" s="2"/>
      <c r="C189" s="3"/>
      <c r="D189" s="68"/>
      <c r="E189" s="4"/>
      <c r="F189" s="4"/>
    </row>
    <row r="190" spans="1:15">
      <c r="A190" s="1"/>
      <c r="B190" s="2"/>
      <c r="C190" s="3"/>
      <c r="D190" s="68"/>
      <c r="E190" s="4"/>
      <c r="F190" s="4"/>
    </row>
    <row r="191" spans="1:15">
      <c r="A191" s="1"/>
      <c r="B191" s="2"/>
      <c r="C191" s="3"/>
      <c r="D191" s="68"/>
      <c r="E191" s="4"/>
      <c r="F191" s="4"/>
    </row>
    <row r="192" spans="1:15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B20:D20"/>
    <mergeCell ref="A137:C137"/>
    <mergeCell ref="D137:F137"/>
    <mergeCell ref="G137:H137"/>
    <mergeCell ref="A138:C138"/>
    <mergeCell ref="D138:F138"/>
    <mergeCell ref="G138:H138"/>
    <mergeCell ref="A12:D12"/>
    <mergeCell ref="A14:H14"/>
    <mergeCell ref="A15:H15"/>
    <mergeCell ref="A16:H16"/>
    <mergeCell ref="G17:H17"/>
    <mergeCell ref="A18:A19"/>
    <mergeCell ref="B18:D19"/>
    <mergeCell ref="E18:E19"/>
    <mergeCell ref="F18:F19"/>
    <mergeCell ref="G18:H18"/>
    <mergeCell ref="A11:G11"/>
    <mergeCell ref="A2:D2"/>
    <mergeCell ref="A3:D3"/>
    <mergeCell ref="A4:D4"/>
    <mergeCell ref="A5:D5"/>
    <mergeCell ref="A6:D6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171450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B16" workbookViewId="0">
      <selection activeCell="N23" sqref="N23"/>
    </sheetView>
  </sheetViews>
  <sheetFormatPr defaultRowHeight="15.75"/>
  <cols>
    <col min="1" max="1" width="11.42578125" style="54" customWidth="1"/>
    <col min="2" max="2" width="2.42578125" style="55" customWidth="1"/>
    <col min="3" max="3" width="3.5703125" style="56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9" width="9.140625" style="5"/>
    <col min="10" max="10" width="13.140625" style="5" hidden="1" customWidth="1"/>
    <col min="11" max="11" width="9.140625" style="5" hidden="1" customWidth="1"/>
    <col min="12" max="12" width="9.28515625" style="6" hidden="1" customWidth="1"/>
    <col min="13" max="13" width="9.140625" style="5"/>
    <col min="14" max="14" width="10.5703125" style="5" customWidth="1"/>
    <col min="15" max="15" width="11.7109375" style="5" customWidth="1"/>
    <col min="16" max="16384" width="9.140625" style="5"/>
  </cols>
  <sheetData>
    <row r="1" spans="1:12" ht="16.5" customHeight="1">
      <c r="A1" s="1"/>
      <c r="B1" s="2"/>
      <c r="C1" s="3"/>
      <c r="D1" s="4"/>
      <c r="E1" s="4"/>
      <c r="F1" s="4"/>
    </row>
    <row r="2" spans="1:12">
      <c r="A2" s="319"/>
      <c r="B2" s="319"/>
      <c r="C2" s="319"/>
      <c r="D2" s="319"/>
      <c r="E2" s="4"/>
      <c r="F2" s="4"/>
    </row>
    <row r="3" spans="1:12" ht="13.5" customHeight="1">
      <c r="A3" s="319"/>
      <c r="B3" s="319"/>
      <c r="C3" s="319"/>
      <c r="D3" s="319"/>
      <c r="E3" s="4"/>
      <c r="F3" s="4"/>
    </row>
    <row r="4" spans="1:12" ht="15" customHeight="1">
      <c r="A4" s="319"/>
      <c r="B4" s="319"/>
      <c r="C4" s="319"/>
      <c r="D4" s="319"/>
      <c r="E4" s="4"/>
      <c r="F4" s="4"/>
    </row>
    <row r="5" spans="1:12" ht="16.5" customHeight="1">
      <c r="A5" s="319"/>
      <c r="B5" s="319"/>
      <c r="C5" s="319"/>
      <c r="D5" s="319"/>
      <c r="E5" s="4"/>
      <c r="F5" s="4"/>
    </row>
    <row r="6" spans="1:12">
      <c r="A6" s="319"/>
      <c r="B6" s="319"/>
      <c r="C6" s="319"/>
      <c r="D6" s="319"/>
      <c r="E6" s="4"/>
      <c r="F6" s="4"/>
    </row>
    <row r="7" spans="1:12" ht="13.5" customHeight="1">
      <c r="A7" s="1"/>
      <c r="B7" s="2"/>
      <c r="C7" s="3"/>
      <c r="D7" s="4"/>
      <c r="E7" s="4"/>
      <c r="F7" s="4"/>
    </row>
    <row r="8" spans="1:12" ht="13.5" customHeight="1">
      <c r="A8" s="1"/>
      <c r="B8" s="2"/>
      <c r="C8" s="3"/>
      <c r="D8" s="4"/>
      <c r="E8" s="4"/>
      <c r="F8" s="4"/>
    </row>
    <row r="9" spans="1:12" ht="13.5" customHeight="1">
      <c r="A9" s="1"/>
      <c r="B9" s="2"/>
      <c r="C9" s="3"/>
      <c r="D9" s="4"/>
      <c r="E9" s="4"/>
      <c r="F9" s="4"/>
    </row>
    <row r="10" spans="1:12">
      <c r="A10" s="1"/>
      <c r="B10" s="2"/>
      <c r="C10" s="3"/>
      <c r="D10" s="4"/>
      <c r="E10" s="4"/>
      <c r="F10" s="4"/>
    </row>
    <row r="11" spans="1:12" s="7" customFormat="1" ht="13.5" customHeight="1">
      <c r="A11" s="318"/>
      <c r="B11" s="318"/>
      <c r="C11" s="318"/>
      <c r="D11" s="318"/>
      <c r="E11" s="318"/>
      <c r="F11" s="318"/>
      <c r="G11" s="318"/>
      <c r="L11" s="8"/>
    </row>
    <row r="12" spans="1:12" s="7" customFormat="1" ht="13.5" customHeight="1">
      <c r="A12" s="318"/>
      <c r="B12" s="318"/>
      <c r="C12" s="318"/>
      <c r="D12" s="318"/>
      <c r="E12" s="4"/>
      <c r="F12" s="4"/>
      <c r="L12" s="8"/>
    </row>
    <row r="13" spans="1:12" s="7" customFormat="1" ht="24" customHeight="1">
      <c r="A13" s="1"/>
      <c r="B13" s="2"/>
      <c r="C13" s="3"/>
      <c r="D13" s="4"/>
      <c r="E13" s="4"/>
      <c r="F13" s="4"/>
      <c r="H13" s="9"/>
      <c r="L13" s="8"/>
    </row>
    <row r="14" spans="1:12" s="7" customFormat="1" ht="28.5" customHeight="1">
      <c r="A14" s="325" t="s">
        <v>103</v>
      </c>
      <c r="B14" s="325"/>
      <c r="C14" s="325"/>
      <c r="D14" s="325"/>
      <c r="E14" s="325"/>
      <c r="F14" s="325"/>
      <c r="G14" s="325"/>
      <c r="H14" s="325"/>
      <c r="L14" s="8"/>
    </row>
    <row r="15" spans="1:12" s="7" customFormat="1" ht="3.75" customHeight="1">
      <c r="A15" s="326"/>
      <c r="B15" s="326"/>
      <c r="C15" s="326"/>
      <c r="D15" s="326"/>
      <c r="E15" s="326"/>
      <c r="F15" s="326"/>
      <c r="G15" s="326"/>
      <c r="H15" s="326"/>
      <c r="L15" s="8"/>
    </row>
    <row r="16" spans="1:12" s="7" customFormat="1" ht="24" customHeight="1">
      <c r="A16" s="341" t="s">
        <v>331</v>
      </c>
      <c r="B16" s="341"/>
      <c r="C16" s="341"/>
      <c r="D16" s="341"/>
      <c r="E16" s="341"/>
      <c r="F16" s="341"/>
      <c r="G16" s="341"/>
      <c r="H16" s="341"/>
      <c r="L16" s="8"/>
    </row>
    <row r="17" spans="1:15" s="7" customFormat="1" ht="12.75" customHeight="1">
      <c r="A17" s="1"/>
      <c r="B17" s="2"/>
      <c r="C17" s="3"/>
      <c r="D17" s="4"/>
      <c r="E17" s="4"/>
      <c r="F17" s="4"/>
      <c r="G17" s="342" t="s">
        <v>104</v>
      </c>
      <c r="H17" s="342"/>
      <c r="L17" s="8"/>
    </row>
    <row r="18" spans="1:15" s="7" customFormat="1" ht="13.5" customHeight="1">
      <c r="A18" s="336" t="s">
        <v>0</v>
      </c>
      <c r="B18" s="336" t="s">
        <v>1</v>
      </c>
      <c r="C18" s="336"/>
      <c r="D18" s="336"/>
      <c r="E18" s="337" t="s">
        <v>2</v>
      </c>
      <c r="F18" s="338" t="s">
        <v>105</v>
      </c>
      <c r="G18" s="339" t="s">
        <v>3</v>
      </c>
      <c r="H18" s="340"/>
      <c r="L18" s="8"/>
    </row>
    <row r="19" spans="1:15" s="7" customFormat="1" ht="37.5" customHeight="1">
      <c r="A19" s="336"/>
      <c r="B19" s="336"/>
      <c r="C19" s="336"/>
      <c r="D19" s="336"/>
      <c r="E19" s="337"/>
      <c r="F19" s="338"/>
      <c r="G19" s="10" t="s">
        <v>4</v>
      </c>
      <c r="H19" s="11" t="s">
        <v>5</v>
      </c>
      <c r="L19" s="8"/>
    </row>
    <row r="20" spans="1:15" s="7" customFormat="1" ht="12" customHeight="1" thickBot="1">
      <c r="A20" s="12" t="s">
        <v>6</v>
      </c>
      <c r="B20" s="343" t="s">
        <v>7</v>
      </c>
      <c r="C20" s="343"/>
      <c r="D20" s="343"/>
      <c r="E20" s="13" t="s">
        <v>8</v>
      </c>
      <c r="F20" s="14" t="s">
        <v>9</v>
      </c>
      <c r="G20" s="15">
        <v>5</v>
      </c>
      <c r="H20" s="16">
        <v>6</v>
      </c>
      <c r="L20" s="8"/>
    </row>
    <row r="21" spans="1:15" s="24" customFormat="1" ht="24.75" customHeight="1" thickTop="1">
      <c r="A21" s="17"/>
      <c r="B21" s="18" t="s">
        <v>10</v>
      </c>
      <c r="C21" s="19"/>
      <c r="D21" s="20" t="s">
        <v>11</v>
      </c>
      <c r="E21" s="21"/>
      <c r="F21" s="22"/>
      <c r="G21" s="275"/>
      <c r="H21" s="241"/>
      <c r="L21" s="25"/>
    </row>
    <row r="22" spans="1:15" ht="31.5" customHeight="1">
      <c r="A22" s="26"/>
      <c r="B22" s="27"/>
      <c r="C22" s="27" t="s">
        <v>12</v>
      </c>
      <c r="D22" s="28" t="s">
        <v>291</v>
      </c>
      <c r="E22" s="29" t="s">
        <v>106</v>
      </c>
      <c r="F22" s="30"/>
      <c r="G22" s="41">
        <f>G23+G30+G35+G36</f>
        <v>9231885</v>
      </c>
      <c r="H22" s="184">
        <f>H23+H30+H35+H36</f>
        <v>6357837</v>
      </c>
      <c r="I22" s="32"/>
      <c r="J22" s="33">
        <v>1001</v>
      </c>
      <c r="K22" s="41">
        <v>9231885</v>
      </c>
      <c r="L22" s="34">
        <f t="shared" ref="L22:L85" si="0">G22-K22</f>
        <v>0</v>
      </c>
      <c r="N22" s="32"/>
    </row>
    <row r="23" spans="1:15" ht="25.5" customHeight="1">
      <c r="A23" s="29"/>
      <c r="B23" s="35"/>
      <c r="C23" s="35"/>
      <c r="D23" s="28" t="s">
        <v>292</v>
      </c>
      <c r="E23" s="29" t="s">
        <v>107</v>
      </c>
      <c r="F23" s="36"/>
      <c r="G23" s="83">
        <f>G24+G25-G26-G27-G28+G29</f>
        <v>8973733</v>
      </c>
      <c r="H23" s="185">
        <f>H24+H25-H26-H27-H28+H29</f>
        <v>6137583</v>
      </c>
      <c r="I23" s="32"/>
      <c r="J23" s="33">
        <v>1002</v>
      </c>
      <c r="K23" s="83">
        <v>8973734</v>
      </c>
      <c r="L23" s="34">
        <f t="shared" si="0"/>
        <v>-1</v>
      </c>
      <c r="N23" s="32"/>
      <c r="O23" s="38"/>
    </row>
    <row r="24" spans="1:15" ht="25.5" customHeight="1">
      <c r="A24" s="29" t="s">
        <v>320</v>
      </c>
      <c r="B24" s="35"/>
      <c r="C24" s="35"/>
      <c r="D24" s="39" t="s">
        <v>13</v>
      </c>
      <c r="E24" s="29" t="s">
        <v>108</v>
      </c>
      <c r="F24" s="30"/>
      <c r="G24" s="189">
        <f>K24</f>
        <v>0</v>
      </c>
      <c r="H24" s="186">
        <v>0</v>
      </c>
      <c r="I24" s="32"/>
      <c r="J24" s="33">
        <v>1003</v>
      </c>
      <c r="K24" s="189">
        <v>0</v>
      </c>
      <c r="L24" s="34">
        <f t="shared" si="0"/>
        <v>0</v>
      </c>
      <c r="N24" s="32"/>
    </row>
    <row r="25" spans="1:15" ht="27" customHeight="1">
      <c r="A25" s="29" t="s">
        <v>321</v>
      </c>
      <c r="B25" s="35"/>
      <c r="C25" s="35"/>
      <c r="D25" s="39" t="s">
        <v>14</v>
      </c>
      <c r="E25" s="29" t="s">
        <v>109</v>
      </c>
      <c r="F25" s="30"/>
      <c r="G25" s="189">
        <f>K25</f>
        <v>10437649</v>
      </c>
      <c r="H25" s="186">
        <v>7667085</v>
      </c>
      <c r="I25" s="32"/>
      <c r="J25" s="33">
        <v>1004</v>
      </c>
      <c r="K25" s="189">
        <v>10437649</v>
      </c>
      <c r="L25" s="34">
        <f t="shared" si="0"/>
        <v>0</v>
      </c>
      <c r="N25" s="32"/>
    </row>
    <row r="26" spans="1:15" ht="27" customHeight="1">
      <c r="A26" s="29" t="s">
        <v>15</v>
      </c>
      <c r="B26" s="35"/>
      <c r="C26" s="35"/>
      <c r="D26" s="39" t="s">
        <v>16</v>
      </c>
      <c r="E26" s="29" t="s">
        <v>110</v>
      </c>
      <c r="F26" s="30"/>
      <c r="G26" s="189">
        <f t="shared" ref="G26:G29" si="1">K26</f>
        <v>12881</v>
      </c>
      <c r="H26" s="186">
        <v>9302</v>
      </c>
      <c r="I26" s="32"/>
      <c r="J26" s="33">
        <v>1005</v>
      </c>
      <c r="K26" s="189">
        <v>12881</v>
      </c>
      <c r="L26" s="34">
        <f t="shared" si="0"/>
        <v>0</v>
      </c>
      <c r="N26" s="32"/>
      <c r="O26" s="38"/>
    </row>
    <row r="27" spans="1:15" ht="25.5" customHeight="1">
      <c r="A27" s="29" t="s">
        <v>15</v>
      </c>
      <c r="B27" s="35"/>
      <c r="C27" s="35"/>
      <c r="D27" s="39" t="s">
        <v>17</v>
      </c>
      <c r="E27" s="29" t="s">
        <v>111</v>
      </c>
      <c r="F27" s="30"/>
      <c r="G27" s="189">
        <f t="shared" si="1"/>
        <v>350330</v>
      </c>
      <c r="H27" s="186">
        <v>267521</v>
      </c>
      <c r="I27" s="32"/>
      <c r="J27" s="33">
        <v>1006</v>
      </c>
      <c r="K27" s="189">
        <v>350330</v>
      </c>
      <c r="L27" s="34">
        <f t="shared" si="0"/>
        <v>0</v>
      </c>
      <c r="N27" s="32"/>
    </row>
    <row r="28" spans="1:15" ht="25.5">
      <c r="A28" s="29" t="s">
        <v>18</v>
      </c>
      <c r="B28" s="35"/>
      <c r="C28" s="35"/>
      <c r="D28" s="39" t="s">
        <v>112</v>
      </c>
      <c r="E28" s="29" t="s">
        <v>114</v>
      </c>
      <c r="F28" s="30"/>
      <c r="G28" s="189">
        <f t="shared" si="1"/>
        <v>1100705</v>
      </c>
      <c r="H28" s="186">
        <v>1252679</v>
      </c>
      <c r="I28" s="32"/>
      <c r="J28" s="33">
        <v>1007</v>
      </c>
      <c r="K28" s="189">
        <v>1100705</v>
      </c>
      <c r="L28" s="34">
        <f t="shared" si="0"/>
        <v>0</v>
      </c>
      <c r="N28" s="32"/>
    </row>
    <row r="29" spans="1:15" ht="25.5">
      <c r="A29" s="29" t="s">
        <v>18</v>
      </c>
      <c r="B29" s="35"/>
      <c r="C29" s="35"/>
      <c r="D29" s="39" t="s">
        <v>113</v>
      </c>
      <c r="E29" s="29" t="s">
        <v>115</v>
      </c>
      <c r="F29" s="30"/>
      <c r="G29" s="189">
        <f t="shared" si="1"/>
        <v>0</v>
      </c>
      <c r="H29" s="186">
        <v>0</v>
      </c>
      <c r="I29" s="32"/>
      <c r="J29" s="33">
        <v>1008</v>
      </c>
      <c r="K29" s="189">
        <v>0</v>
      </c>
      <c r="L29" s="34">
        <f t="shared" si="0"/>
        <v>0</v>
      </c>
      <c r="N29" s="32"/>
    </row>
    <row r="30" spans="1:15" ht="38.25" customHeight="1">
      <c r="A30" s="29"/>
      <c r="B30" s="35"/>
      <c r="C30" s="35"/>
      <c r="D30" s="28" t="s">
        <v>293</v>
      </c>
      <c r="E30" s="29" t="s">
        <v>116</v>
      </c>
      <c r="F30" s="36"/>
      <c r="G30" s="83">
        <f>G31-G32-G33+G34</f>
        <v>0</v>
      </c>
      <c r="H30" s="185">
        <f>H31-H32-H33+H34</f>
        <v>0</v>
      </c>
      <c r="I30" s="32"/>
      <c r="J30" s="33">
        <v>1009</v>
      </c>
      <c r="K30" s="83">
        <v>0</v>
      </c>
      <c r="L30" s="34">
        <f t="shared" si="0"/>
        <v>0</v>
      </c>
      <c r="N30" s="32"/>
    </row>
    <row r="31" spans="1:15" ht="23.25" customHeight="1">
      <c r="A31" s="29" t="s">
        <v>19</v>
      </c>
      <c r="B31" s="35"/>
      <c r="C31" s="35"/>
      <c r="D31" s="39" t="s">
        <v>20</v>
      </c>
      <c r="E31" s="29" t="s">
        <v>117</v>
      </c>
      <c r="F31" s="30"/>
      <c r="G31" s="189">
        <f>K31</f>
        <v>0</v>
      </c>
      <c r="H31" s="186">
        <v>0</v>
      </c>
      <c r="I31" s="32"/>
      <c r="J31" s="33">
        <v>1010</v>
      </c>
      <c r="K31" s="189">
        <v>0</v>
      </c>
      <c r="L31" s="34">
        <f t="shared" si="0"/>
        <v>0</v>
      </c>
      <c r="N31" s="32"/>
    </row>
    <row r="32" spans="1:15" ht="27" customHeight="1">
      <c r="A32" s="29" t="s">
        <v>21</v>
      </c>
      <c r="B32" s="35"/>
      <c r="C32" s="35"/>
      <c r="D32" s="39" t="s">
        <v>323</v>
      </c>
      <c r="E32" s="29" t="s">
        <v>118</v>
      </c>
      <c r="F32" s="30"/>
      <c r="G32" s="189">
        <f t="shared" ref="G32:G36" si="2">K32</f>
        <v>0</v>
      </c>
      <c r="H32" s="186">
        <v>0</v>
      </c>
      <c r="I32" s="32"/>
      <c r="J32" s="33">
        <v>1011</v>
      </c>
      <c r="K32" s="189">
        <v>0</v>
      </c>
      <c r="L32" s="34">
        <f t="shared" si="0"/>
        <v>0</v>
      </c>
      <c r="N32" s="32"/>
    </row>
    <row r="33" spans="1:14" ht="25.5" customHeight="1">
      <c r="A33" s="29" t="s">
        <v>18</v>
      </c>
      <c r="B33" s="35"/>
      <c r="C33" s="35"/>
      <c r="D33" s="39" t="s">
        <v>324</v>
      </c>
      <c r="E33" s="29" t="s">
        <v>119</v>
      </c>
      <c r="F33" s="30"/>
      <c r="G33" s="189">
        <f t="shared" si="2"/>
        <v>0</v>
      </c>
      <c r="H33" s="186">
        <v>0</v>
      </c>
      <c r="I33" s="32"/>
      <c r="J33" s="33">
        <v>1012</v>
      </c>
      <c r="K33" s="189">
        <v>0</v>
      </c>
      <c r="L33" s="34">
        <f t="shared" si="0"/>
        <v>0</v>
      </c>
      <c r="N33" s="32"/>
    </row>
    <row r="34" spans="1:14" ht="25.5" customHeight="1">
      <c r="A34" s="29" t="s">
        <v>18</v>
      </c>
      <c r="B34" s="35"/>
      <c r="C34" s="35"/>
      <c r="D34" s="39" t="s">
        <v>325</v>
      </c>
      <c r="E34" s="29" t="s">
        <v>120</v>
      </c>
      <c r="F34" s="30"/>
      <c r="G34" s="189">
        <f t="shared" si="2"/>
        <v>0</v>
      </c>
      <c r="H34" s="186">
        <v>0</v>
      </c>
      <c r="I34" s="32"/>
      <c r="J34" s="33">
        <v>1013</v>
      </c>
      <c r="K34" s="189">
        <v>0</v>
      </c>
      <c r="L34" s="34">
        <f t="shared" si="0"/>
        <v>0</v>
      </c>
      <c r="N34" s="32"/>
    </row>
    <row r="35" spans="1:14" ht="25.5">
      <c r="A35" s="29" t="s">
        <v>123</v>
      </c>
      <c r="B35" s="35"/>
      <c r="C35" s="35"/>
      <c r="D35" s="28" t="s">
        <v>121</v>
      </c>
      <c r="E35" s="29" t="s">
        <v>122</v>
      </c>
      <c r="F35" s="36"/>
      <c r="G35" s="83">
        <f>K35</f>
        <v>245110</v>
      </c>
      <c r="H35" s="185">
        <v>207283</v>
      </c>
      <c r="I35" s="32"/>
      <c r="J35" s="33">
        <v>1014</v>
      </c>
      <c r="K35" s="83">
        <v>245110</v>
      </c>
      <c r="L35" s="34">
        <f t="shared" si="0"/>
        <v>0</v>
      </c>
      <c r="N35" s="32"/>
    </row>
    <row r="36" spans="1:14" ht="38.25">
      <c r="A36" s="29" t="s">
        <v>125</v>
      </c>
      <c r="B36" s="35"/>
      <c r="C36" s="35"/>
      <c r="D36" s="28" t="s">
        <v>124</v>
      </c>
      <c r="E36" s="29" t="s">
        <v>126</v>
      </c>
      <c r="F36" s="36"/>
      <c r="G36" s="83">
        <f t="shared" si="2"/>
        <v>13042</v>
      </c>
      <c r="H36" s="185">
        <v>12971</v>
      </c>
      <c r="I36" s="32"/>
      <c r="J36" s="33">
        <v>1015</v>
      </c>
      <c r="K36" s="83">
        <v>13042</v>
      </c>
      <c r="L36" s="34">
        <f t="shared" si="0"/>
        <v>0</v>
      </c>
      <c r="N36" s="32"/>
    </row>
    <row r="37" spans="1:14" ht="33" customHeight="1">
      <c r="A37" s="26"/>
      <c r="B37" s="27"/>
      <c r="C37" s="27" t="s">
        <v>22</v>
      </c>
      <c r="D37" s="28" t="s">
        <v>294</v>
      </c>
      <c r="E37" s="29" t="s">
        <v>127</v>
      </c>
      <c r="F37" s="30"/>
      <c r="G37" s="41">
        <f>G38+G47+G55-G56-G65+G66-G67+G68+G69</f>
        <v>4316624</v>
      </c>
      <c r="H37" s="184">
        <f>H38+H47+H55-H56-H65+H66-H67+H68+H69</f>
        <v>3460756</v>
      </c>
      <c r="I37" s="32"/>
      <c r="J37" s="33">
        <v>1016</v>
      </c>
      <c r="K37" s="41">
        <v>4316625</v>
      </c>
      <c r="L37" s="34">
        <f t="shared" si="0"/>
        <v>-1</v>
      </c>
      <c r="N37" s="32"/>
    </row>
    <row r="38" spans="1:14" ht="32.25" customHeight="1">
      <c r="A38" s="29"/>
      <c r="B38" s="35"/>
      <c r="C38" s="35"/>
      <c r="D38" s="28" t="s">
        <v>295</v>
      </c>
      <c r="E38" s="29" t="s">
        <v>128</v>
      </c>
      <c r="F38" s="36"/>
      <c r="G38" s="83">
        <f>G39+G40+G41+G42+G43+G44+G45+G46</f>
        <v>1452614</v>
      </c>
      <c r="H38" s="185">
        <f>H39+H40+H41+H42+H43+H44+H45+H46</f>
        <v>1401634</v>
      </c>
      <c r="I38" s="32"/>
      <c r="J38" s="33">
        <v>1017</v>
      </c>
      <c r="K38" s="83">
        <v>1452615</v>
      </c>
      <c r="L38" s="34">
        <f t="shared" si="0"/>
        <v>-1</v>
      </c>
      <c r="N38" s="32"/>
    </row>
    <row r="39" spans="1:14" ht="27" customHeight="1">
      <c r="A39" s="29" t="s">
        <v>23</v>
      </c>
      <c r="B39" s="35"/>
      <c r="C39" s="35"/>
      <c r="D39" s="39" t="s">
        <v>129</v>
      </c>
      <c r="E39" s="29" t="s">
        <v>130</v>
      </c>
      <c r="F39" s="30"/>
      <c r="G39" s="189">
        <f>K39</f>
        <v>0</v>
      </c>
      <c r="H39" s="186">
        <v>0</v>
      </c>
      <c r="I39" s="32"/>
      <c r="J39" s="33">
        <v>1018</v>
      </c>
      <c r="K39" s="189">
        <v>0</v>
      </c>
      <c r="L39" s="34">
        <f t="shared" si="0"/>
        <v>0</v>
      </c>
      <c r="N39" s="32"/>
    </row>
    <row r="40" spans="1:14" ht="25.5" customHeight="1">
      <c r="A40" s="29" t="s">
        <v>133</v>
      </c>
      <c r="B40" s="35"/>
      <c r="C40" s="35"/>
      <c r="D40" s="39" t="s">
        <v>131</v>
      </c>
      <c r="E40" s="29" t="s">
        <v>132</v>
      </c>
      <c r="F40" s="30"/>
      <c r="G40" s="189">
        <f t="shared" ref="G40:G46" si="3">K40</f>
        <v>0</v>
      </c>
      <c r="H40" s="186">
        <v>0</v>
      </c>
      <c r="I40" s="32"/>
      <c r="J40" s="33">
        <v>1019</v>
      </c>
      <c r="K40" s="189">
        <v>0</v>
      </c>
      <c r="L40" s="34">
        <f t="shared" si="0"/>
        <v>0</v>
      </c>
      <c r="N40" s="32"/>
    </row>
    <row r="41" spans="1:14" ht="17.100000000000001" customHeight="1">
      <c r="A41" s="29" t="s">
        <v>24</v>
      </c>
      <c r="B41" s="35"/>
      <c r="C41" s="35"/>
      <c r="D41" s="39" t="s">
        <v>25</v>
      </c>
      <c r="E41" s="29" t="s">
        <v>134</v>
      </c>
      <c r="F41" s="30"/>
      <c r="G41" s="189">
        <f t="shared" si="3"/>
        <v>183641</v>
      </c>
      <c r="H41" s="186">
        <v>126690</v>
      </c>
      <c r="I41" s="32"/>
      <c r="J41" s="33">
        <v>1020</v>
      </c>
      <c r="K41" s="189">
        <v>183641</v>
      </c>
      <c r="L41" s="34">
        <f t="shared" si="0"/>
        <v>0</v>
      </c>
      <c r="N41" s="32"/>
    </row>
    <row r="42" spans="1:14" ht="17.100000000000001" customHeight="1">
      <c r="A42" s="29" t="s">
        <v>26</v>
      </c>
      <c r="B42" s="27"/>
      <c r="C42" s="35"/>
      <c r="D42" s="39" t="s">
        <v>135</v>
      </c>
      <c r="E42" s="29" t="s">
        <v>136</v>
      </c>
      <c r="F42" s="30"/>
      <c r="G42" s="189">
        <f t="shared" si="3"/>
        <v>367</v>
      </c>
      <c r="H42" s="186">
        <v>0</v>
      </c>
      <c r="I42" s="32"/>
      <c r="J42" s="33">
        <v>1021</v>
      </c>
      <c r="K42" s="189">
        <v>367</v>
      </c>
      <c r="L42" s="34">
        <f t="shared" si="0"/>
        <v>0</v>
      </c>
      <c r="N42" s="32"/>
    </row>
    <row r="43" spans="1:14" ht="17.100000000000001" customHeight="1">
      <c r="A43" s="29" t="s">
        <v>27</v>
      </c>
      <c r="B43" s="35"/>
      <c r="C43" s="35"/>
      <c r="D43" s="39" t="s">
        <v>28</v>
      </c>
      <c r="E43" s="29" t="s">
        <v>137</v>
      </c>
      <c r="F43" s="30"/>
      <c r="G43" s="189">
        <f t="shared" si="3"/>
        <v>781766</v>
      </c>
      <c r="H43" s="186">
        <v>435335</v>
      </c>
      <c r="I43" s="32"/>
      <c r="J43" s="33">
        <v>1022</v>
      </c>
      <c r="K43" s="189">
        <v>781766</v>
      </c>
      <c r="L43" s="34">
        <f t="shared" si="0"/>
        <v>0</v>
      </c>
      <c r="N43" s="32"/>
    </row>
    <row r="44" spans="1:14" ht="17.100000000000001" customHeight="1">
      <c r="A44" s="29" t="s">
        <v>29</v>
      </c>
      <c r="B44" s="35"/>
      <c r="C44" s="35"/>
      <c r="D44" s="39" t="s">
        <v>30</v>
      </c>
      <c r="E44" s="29" t="s">
        <v>138</v>
      </c>
      <c r="F44" s="30"/>
      <c r="G44" s="189">
        <f t="shared" si="3"/>
        <v>0</v>
      </c>
      <c r="H44" s="186">
        <v>483176</v>
      </c>
      <c r="I44" s="32"/>
      <c r="J44" s="33">
        <v>1023</v>
      </c>
      <c r="K44" s="189">
        <v>0</v>
      </c>
      <c r="L44" s="34">
        <f t="shared" si="0"/>
        <v>0</v>
      </c>
      <c r="N44" s="32"/>
    </row>
    <row r="45" spans="1:14" ht="51">
      <c r="A45" s="29" t="s">
        <v>139</v>
      </c>
      <c r="B45" s="35"/>
      <c r="C45" s="35"/>
      <c r="D45" s="39" t="s">
        <v>140</v>
      </c>
      <c r="E45" s="29" t="s">
        <v>141</v>
      </c>
      <c r="F45" s="30"/>
      <c r="G45" s="189">
        <f t="shared" si="3"/>
        <v>0</v>
      </c>
      <c r="H45" s="186">
        <v>0</v>
      </c>
      <c r="I45" s="32"/>
      <c r="J45" s="33">
        <v>1024</v>
      </c>
      <c r="K45" s="189">
        <v>0</v>
      </c>
      <c r="L45" s="34">
        <f t="shared" si="0"/>
        <v>0</v>
      </c>
      <c r="N45" s="32"/>
    </row>
    <row r="46" spans="1:14" ht="25.5" customHeight="1">
      <c r="A46" s="29" t="s">
        <v>31</v>
      </c>
      <c r="B46" s="27"/>
      <c r="C46" s="35"/>
      <c r="D46" s="39" t="s">
        <v>142</v>
      </c>
      <c r="E46" s="29" t="s">
        <v>143</v>
      </c>
      <c r="F46" s="30"/>
      <c r="G46" s="189">
        <f t="shared" si="3"/>
        <v>486840</v>
      </c>
      <c r="H46" s="186">
        <v>356433</v>
      </c>
      <c r="I46" s="32"/>
      <c r="J46" s="33">
        <v>1025</v>
      </c>
      <c r="K46" s="189">
        <v>486840</v>
      </c>
      <c r="L46" s="34">
        <f t="shared" si="0"/>
        <v>0</v>
      </c>
      <c r="N46" s="32"/>
    </row>
    <row r="47" spans="1:14" ht="27.75" customHeight="1">
      <c r="A47" s="29"/>
      <c r="B47" s="35"/>
      <c r="C47" s="35"/>
      <c r="D47" s="28" t="s">
        <v>296</v>
      </c>
      <c r="E47" s="29" t="s">
        <v>144</v>
      </c>
      <c r="F47" s="36"/>
      <c r="G47" s="83">
        <f>G48+G49+G50+G51+G52-G53-G54</f>
        <v>2938107</v>
      </c>
      <c r="H47" s="185">
        <f>H48+H49+H50+H51+H52-H53-H54</f>
        <v>2573318</v>
      </c>
      <c r="I47" s="32"/>
      <c r="J47" s="33">
        <v>1026</v>
      </c>
      <c r="K47" s="83">
        <v>2938108</v>
      </c>
      <c r="L47" s="34">
        <f t="shared" si="0"/>
        <v>-1</v>
      </c>
      <c r="N47" s="32"/>
    </row>
    <row r="48" spans="1:14" ht="25.5" customHeight="1">
      <c r="A48" s="29" t="s">
        <v>145</v>
      </c>
      <c r="B48" s="35"/>
      <c r="C48" s="35"/>
      <c r="D48" s="39" t="s">
        <v>32</v>
      </c>
      <c r="E48" s="29" t="s">
        <v>146</v>
      </c>
      <c r="F48" s="30"/>
      <c r="G48" s="189">
        <f>K48</f>
        <v>0</v>
      </c>
      <c r="H48" s="186">
        <v>0</v>
      </c>
      <c r="I48" s="32"/>
      <c r="J48" s="33">
        <v>1027</v>
      </c>
      <c r="K48" s="189">
        <v>0</v>
      </c>
      <c r="L48" s="34">
        <f t="shared" si="0"/>
        <v>0</v>
      </c>
      <c r="N48" s="32"/>
    </row>
    <row r="49" spans="1:14" ht="14.25" customHeight="1">
      <c r="A49" s="29" t="s">
        <v>147</v>
      </c>
      <c r="B49" s="35"/>
      <c r="C49" s="35"/>
      <c r="D49" s="39" t="s">
        <v>33</v>
      </c>
      <c r="E49" s="29" t="s">
        <v>148</v>
      </c>
      <c r="F49" s="30"/>
      <c r="G49" s="189">
        <f t="shared" ref="G49:G54" si="4">K49</f>
        <v>2697914</v>
      </c>
      <c r="H49" s="186">
        <v>2333199</v>
      </c>
      <c r="I49" s="32"/>
      <c r="J49" s="33">
        <v>1028</v>
      </c>
      <c r="K49" s="189">
        <v>2697914</v>
      </c>
      <c r="L49" s="34">
        <f t="shared" si="0"/>
        <v>0</v>
      </c>
      <c r="N49" s="32"/>
    </row>
    <row r="50" spans="1:14" ht="25.5" customHeight="1">
      <c r="A50" s="29" t="s">
        <v>34</v>
      </c>
      <c r="B50" s="35"/>
      <c r="C50" s="35"/>
      <c r="D50" s="39" t="s">
        <v>35</v>
      </c>
      <c r="E50" s="29" t="s">
        <v>149</v>
      </c>
      <c r="F50" s="30"/>
      <c r="G50" s="189">
        <f>K50-1</f>
        <v>1092</v>
      </c>
      <c r="H50" s="186">
        <v>3574</v>
      </c>
      <c r="I50" s="32"/>
      <c r="J50" s="33">
        <v>1029</v>
      </c>
      <c r="K50" s="189">
        <v>1093</v>
      </c>
      <c r="L50" s="34">
        <f t="shared" si="0"/>
        <v>-1</v>
      </c>
      <c r="N50" s="32"/>
    </row>
    <row r="51" spans="1:14" ht="25.5" customHeight="1">
      <c r="A51" s="29" t="s">
        <v>34</v>
      </c>
      <c r="B51" s="35"/>
      <c r="C51" s="35"/>
      <c r="D51" s="39" t="s">
        <v>36</v>
      </c>
      <c r="E51" s="29" t="s">
        <v>150</v>
      </c>
      <c r="F51" s="30"/>
      <c r="G51" s="189">
        <f t="shared" si="4"/>
        <v>0</v>
      </c>
      <c r="H51" s="186">
        <v>0</v>
      </c>
      <c r="I51" s="32"/>
      <c r="J51" s="33">
        <v>1030</v>
      </c>
      <c r="K51" s="189">
        <v>0</v>
      </c>
      <c r="L51" s="34">
        <f t="shared" si="0"/>
        <v>0</v>
      </c>
      <c r="N51" s="32"/>
    </row>
    <row r="52" spans="1:14" ht="24" customHeight="1">
      <c r="A52" s="29" t="s">
        <v>37</v>
      </c>
      <c r="B52" s="35"/>
      <c r="C52" s="35"/>
      <c r="D52" s="39" t="s">
        <v>38</v>
      </c>
      <c r="E52" s="29" t="s">
        <v>151</v>
      </c>
      <c r="F52" s="30"/>
      <c r="G52" s="189">
        <f t="shared" si="4"/>
        <v>251463</v>
      </c>
      <c r="H52" s="186">
        <v>251455</v>
      </c>
      <c r="I52" s="32"/>
      <c r="J52" s="33">
        <v>1031</v>
      </c>
      <c r="K52" s="189">
        <v>251463</v>
      </c>
      <c r="L52" s="34">
        <f t="shared" si="0"/>
        <v>0</v>
      </c>
      <c r="N52" s="32"/>
    </row>
    <row r="53" spans="1:14" ht="25.5" customHeight="1">
      <c r="A53" s="29" t="s">
        <v>153</v>
      </c>
      <c r="B53" s="35"/>
      <c r="C53" s="35"/>
      <c r="D53" s="39" t="s">
        <v>39</v>
      </c>
      <c r="E53" s="29" t="s">
        <v>152</v>
      </c>
      <c r="F53" s="30"/>
      <c r="G53" s="189">
        <f t="shared" si="4"/>
        <v>8261</v>
      </c>
      <c r="H53" s="186">
        <v>3983</v>
      </c>
      <c r="I53" s="32"/>
      <c r="J53" s="33">
        <v>1032</v>
      </c>
      <c r="K53" s="189">
        <v>8261</v>
      </c>
      <c r="L53" s="34">
        <f t="shared" si="0"/>
        <v>0</v>
      </c>
      <c r="N53" s="32"/>
    </row>
    <row r="54" spans="1:14" ht="38.25" customHeight="1">
      <c r="A54" s="29" t="s">
        <v>155</v>
      </c>
      <c r="B54" s="35"/>
      <c r="C54" s="35"/>
      <c r="D54" s="39" t="s">
        <v>101</v>
      </c>
      <c r="E54" s="29" t="s">
        <v>154</v>
      </c>
      <c r="F54" s="30"/>
      <c r="G54" s="189">
        <f t="shared" si="4"/>
        <v>4101</v>
      </c>
      <c r="H54" s="186">
        <v>10927</v>
      </c>
      <c r="I54" s="32"/>
      <c r="J54" s="33">
        <v>1033</v>
      </c>
      <c r="K54" s="189">
        <v>4101</v>
      </c>
      <c r="L54" s="34">
        <f t="shared" si="0"/>
        <v>0</v>
      </c>
      <c r="N54" s="32"/>
    </row>
    <row r="55" spans="1:14" ht="25.5">
      <c r="A55" s="29"/>
      <c r="B55" s="35"/>
      <c r="C55" s="35"/>
      <c r="D55" s="28" t="s">
        <v>297</v>
      </c>
      <c r="E55" s="29" t="s">
        <v>156</v>
      </c>
      <c r="F55" s="36"/>
      <c r="G55" s="83">
        <f>IF((G57-G58+G59-G60+G61-G62+G63-G64)&gt;0,(G57-G58+G59-G60+G61-G62+G63-G64),0)</f>
        <v>1401710</v>
      </c>
      <c r="H55" s="185">
        <f>IF((H57-H58+H59-H60+H61-H62+H63-H64)&gt;0,(H57-H58+H59-H60+H61-H62+H63-H64),0)</f>
        <v>0</v>
      </c>
      <c r="I55" s="32"/>
      <c r="J55" s="33">
        <v>1034</v>
      </c>
      <c r="K55" s="83">
        <v>1401710</v>
      </c>
      <c r="L55" s="34">
        <f t="shared" si="0"/>
        <v>0</v>
      </c>
      <c r="N55" s="32"/>
    </row>
    <row r="56" spans="1:14" ht="25.5">
      <c r="A56" s="29"/>
      <c r="B56" s="35"/>
      <c r="C56" s="35"/>
      <c r="D56" s="28" t="s">
        <v>298</v>
      </c>
      <c r="E56" s="29" t="s">
        <v>157</v>
      </c>
      <c r="F56" s="36"/>
      <c r="G56" s="190">
        <f>IF((G57-G58+G59-G60+G61-G62+G63-G64)&lt;0,-(G57-G58+G59-G60+G61-G62+G63-G64),0)</f>
        <v>0</v>
      </c>
      <c r="H56" s="187">
        <f>IF((H57-H58+H59-H60+H61-H62+H63-H64)&lt;0,-(H57-H58+H59-H60+H61-H62+H63-H64),0)</f>
        <v>243624</v>
      </c>
      <c r="I56" s="32"/>
      <c r="J56" s="33">
        <v>1035</v>
      </c>
      <c r="K56" s="190">
        <v>0</v>
      </c>
      <c r="L56" s="34">
        <f t="shared" si="0"/>
        <v>0</v>
      </c>
      <c r="N56" s="32"/>
    </row>
    <row r="57" spans="1:14" ht="15" customHeight="1">
      <c r="A57" s="29" t="s">
        <v>40</v>
      </c>
      <c r="B57" s="35"/>
      <c r="C57" s="35"/>
      <c r="D57" s="39" t="s">
        <v>158</v>
      </c>
      <c r="E57" s="29" t="s">
        <v>165</v>
      </c>
      <c r="F57" s="30"/>
      <c r="G57" s="189">
        <f>K57</f>
        <v>0</v>
      </c>
      <c r="H57" s="186">
        <v>0</v>
      </c>
      <c r="I57" s="32"/>
      <c r="J57" s="33">
        <v>1036</v>
      </c>
      <c r="K57" s="189">
        <v>0</v>
      </c>
      <c r="L57" s="34">
        <f t="shared" si="0"/>
        <v>0</v>
      </c>
      <c r="N57" s="32"/>
    </row>
    <row r="58" spans="1:14" ht="13.5" customHeight="1">
      <c r="A58" s="29" t="s">
        <v>41</v>
      </c>
      <c r="B58" s="35"/>
      <c r="C58" s="35"/>
      <c r="D58" s="39" t="s">
        <v>159</v>
      </c>
      <c r="E58" s="29" t="s">
        <v>166</v>
      </c>
      <c r="F58" s="30"/>
      <c r="G58" s="189">
        <f t="shared" ref="G58:G69" si="5">K58</f>
        <v>0</v>
      </c>
      <c r="H58" s="186">
        <v>0</v>
      </c>
      <c r="I58" s="32"/>
      <c r="J58" s="33">
        <v>1037</v>
      </c>
      <c r="K58" s="189">
        <v>0</v>
      </c>
      <c r="L58" s="34">
        <f t="shared" si="0"/>
        <v>0</v>
      </c>
      <c r="N58" s="32"/>
    </row>
    <row r="59" spans="1:14" ht="16.5" customHeight="1">
      <c r="A59" s="29" t="s">
        <v>42</v>
      </c>
      <c r="B59" s="35"/>
      <c r="C59" s="35"/>
      <c r="D59" s="39" t="s">
        <v>160</v>
      </c>
      <c r="E59" s="29" t="s">
        <v>167</v>
      </c>
      <c r="F59" s="30"/>
      <c r="G59" s="189">
        <f t="shared" si="5"/>
        <v>2061832</v>
      </c>
      <c r="H59" s="186">
        <v>635685</v>
      </c>
      <c r="I59" s="32"/>
      <c r="J59" s="33">
        <v>1038</v>
      </c>
      <c r="K59" s="189">
        <v>2061832</v>
      </c>
      <c r="L59" s="34">
        <f t="shared" si="0"/>
        <v>0</v>
      </c>
      <c r="N59" s="32"/>
    </row>
    <row r="60" spans="1:14" ht="12.75" customHeight="1">
      <c r="A60" s="29" t="s">
        <v>43</v>
      </c>
      <c r="B60" s="35"/>
      <c r="C60" s="35"/>
      <c r="D60" s="39" t="s">
        <v>161</v>
      </c>
      <c r="E60" s="29" t="s">
        <v>168</v>
      </c>
      <c r="F60" s="30"/>
      <c r="G60" s="189">
        <f t="shared" si="5"/>
        <v>660302</v>
      </c>
      <c r="H60" s="186">
        <v>879469</v>
      </c>
      <c r="I60" s="32"/>
      <c r="J60" s="33">
        <v>1039</v>
      </c>
      <c r="K60" s="189">
        <v>660302</v>
      </c>
      <c r="L60" s="34">
        <f t="shared" si="0"/>
        <v>0</v>
      </c>
      <c r="N60" s="32"/>
    </row>
    <row r="61" spans="1:14" ht="27" customHeight="1">
      <c r="A61" s="29" t="s">
        <v>44</v>
      </c>
      <c r="B61" s="35"/>
      <c r="C61" s="35"/>
      <c r="D61" s="39" t="s">
        <v>162</v>
      </c>
      <c r="E61" s="29" t="s">
        <v>169</v>
      </c>
      <c r="F61" s="30"/>
      <c r="G61" s="189">
        <f t="shared" si="5"/>
        <v>254</v>
      </c>
      <c r="H61" s="186">
        <v>160</v>
      </c>
      <c r="I61" s="32"/>
      <c r="J61" s="33">
        <v>1040</v>
      </c>
      <c r="K61" s="189">
        <v>254</v>
      </c>
      <c r="L61" s="34">
        <f t="shared" si="0"/>
        <v>0</v>
      </c>
      <c r="N61" s="32"/>
    </row>
    <row r="62" spans="1:14" ht="30" customHeight="1">
      <c r="A62" s="29" t="s">
        <v>45</v>
      </c>
      <c r="B62" s="35"/>
      <c r="C62" s="35"/>
      <c r="D62" s="39" t="s">
        <v>163</v>
      </c>
      <c r="E62" s="29" t="s">
        <v>170</v>
      </c>
      <c r="F62" s="30"/>
      <c r="G62" s="189">
        <f t="shared" si="5"/>
        <v>74</v>
      </c>
      <c r="H62" s="186">
        <v>0</v>
      </c>
      <c r="I62" s="32"/>
      <c r="J62" s="33">
        <v>1041</v>
      </c>
      <c r="K62" s="189">
        <v>74</v>
      </c>
      <c r="L62" s="34">
        <f t="shared" si="0"/>
        <v>0</v>
      </c>
      <c r="N62" s="32"/>
    </row>
    <row r="63" spans="1:14" ht="38.25" customHeight="1">
      <c r="A63" s="29" t="s">
        <v>46</v>
      </c>
      <c r="B63" s="35"/>
      <c r="C63" s="35"/>
      <c r="D63" s="39" t="s">
        <v>47</v>
      </c>
      <c r="E63" s="29" t="s">
        <v>171</v>
      </c>
      <c r="F63" s="30"/>
      <c r="G63" s="189">
        <f t="shared" si="5"/>
        <v>0</v>
      </c>
      <c r="H63" s="186">
        <v>0</v>
      </c>
      <c r="I63" s="32"/>
      <c r="J63" s="33">
        <v>1042</v>
      </c>
      <c r="K63" s="189">
        <v>0</v>
      </c>
      <c r="L63" s="34">
        <f t="shared" si="0"/>
        <v>0</v>
      </c>
      <c r="N63" s="32"/>
    </row>
    <row r="64" spans="1:14" ht="25.5" customHeight="1">
      <c r="A64" s="29" t="s">
        <v>164</v>
      </c>
      <c r="B64" s="35"/>
      <c r="C64" s="35"/>
      <c r="D64" s="39" t="s">
        <v>48</v>
      </c>
      <c r="E64" s="29" t="s">
        <v>172</v>
      </c>
      <c r="F64" s="30"/>
      <c r="G64" s="189">
        <f t="shared" si="5"/>
        <v>0</v>
      </c>
      <c r="H64" s="186">
        <v>0</v>
      </c>
      <c r="I64" s="32"/>
      <c r="J64" s="33">
        <v>1043</v>
      </c>
      <c r="K64" s="189">
        <v>0</v>
      </c>
      <c r="L64" s="34">
        <f t="shared" si="0"/>
        <v>0</v>
      </c>
      <c r="N64" s="32"/>
    </row>
    <row r="65" spans="1:14" ht="25.5">
      <c r="A65" s="29" t="s">
        <v>322</v>
      </c>
      <c r="B65" s="35"/>
      <c r="C65" s="35"/>
      <c r="D65" s="28" t="s">
        <v>173</v>
      </c>
      <c r="E65" s="29" t="s">
        <v>174</v>
      </c>
      <c r="F65" s="36"/>
      <c r="G65" s="83">
        <f>K65</f>
        <v>227320</v>
      </c>
      <c r="H65" s="185">
        <v>234989</v>
      </c>
      <c r="I65" s="32"/>
      <c r="J65" s="33">
        <v>1044</v>
      </c>
      <c r="K65" s="83">
        <v>227320</v>
      </c>
      <c r="L65" s="34">
        <f t="shared" si="0"/>
        <v>0</v>
      </c>
      <c r="N65" s="32"/>
    </row>
    <row r="66" spans="1:14" ht="25.5" customHeight="1">
      <c r="A66" s="29" t="s">
        <v>49</v>
      </c>
      <c r="B66" s="35"/>
      <c r="C66" s="35"/>
      <c r="D66" s="28" t="s">
        <v>50</v>
      </c>
      <c r="E66" s="29" t="s">
        <v>176</v>
      </c>
      <c r="F66" s="36"/>
      <c r="G66" s="83">
        <f t="shared" si="5"/>
        <v>0</v>
      </c>
      <c r="H66" s="185">
        <v>0</v>
      </c>
      <c r="I66" s="32"/>
      <c r="J66" s="33">
        <v>1045</v>
      </c>
      <c r="K66" s="83">
        <v>0</v>
      </c>
      <c r="L66" s="34">
        <f t="shared" si="0"/>
        <v>0</v>
      </c>
      <c r="N66" s="32"/>
    </row>
    <row r="67" spans="1:14" ht="25.5">
      <c r="A67" s="29" t="s">
        <v>175</v>
      </c>
      <c r="B67" s="35"/>
      <c r="C67" s="35"/>
      <c r="D67" s="28" t="s">
        <v>51</v>
      </c>
      <c r="E67" s="29" t="s">
        <v>177</v>
      </c>
      <c r="F67" s="36"/>
      <c r="G67" s="83">
        <f t="shared" si="5"/>
        <v>1268855</v>
      </c>
      <c r="H67" s="185">
        <v>44678</v>
      </c>
      <c r="I67" s="32"/>
      <c r="J67" s="33">
        <v>1046</v>
      </c>
      <c r="K67" s="83">
        <v>1268855</v>
      </c>
      <c r="L67" s="34">
        <f t="shared" si="0"/>
        <v>0</v>
      </c>
      <c r="N67" s="32"/>
    </row>
    <row r="68" spans="1:14" ht="36.75" customHeight="1">
      <c r="A68" s="29" t="s">
        <v>52</v>
      </c>
      <c r="B68" s="35"/>
      <c r="C68" s="35"/>
      <c r="D68" s="28" t="s">
        <v>53</v>
      </c>
      <c r="E68" s="29" t="s">
        <v>178</v>
      </c>
      <c r="F68" s="36"/>
      <c r="G68" s="83">
        <f t="shared" si="5"/>
        <v>20368</v>
      </c>
      <c r="H68" s="185">
        <v>9095</v>
      </c>
      <c r="I68" s="32"/>
      <c r="J68" s="33">
        <v>1047</v>
      </c>
      <c r="K68" s="83">
        <v>20368</v>
      </c>
      <c r="L68" s="34">
        <f t="shared" si="0"/>
        <v>0</v>
      </c>
      <c r="N68" s="32"/>
    </row>
    <row r="69" spans="1:14" ht="22.5" customHeight="1">
      <c r="A69" s="29" t="s">
        <v>181</v>
      </c>
      <c r="B69" s="35"/>
      <c r="C69" s="35"/>
      <c r="D69" s="28" t="s">
        <v>179</v>
      </c>
      <c r="E69" s="29" t="s">
        <v>180</v>
      </c>
      <c r="F69" s="36"/>
      <c r="G69" s="83">
        <f t="shared" si="5"/>
        <v>0</v>
      </c>
      <c r="H69" s="185">
        <v>0</v>
      </c>
      <c r="I69" s="32"/>
      <c r="J69" s="33">
        <v>1048</v>
      </c>
      <c r="K69" s="83">
        <v>0</v>
      </c>
      <c r="L69" s="34">
        <f t="shared" si="0"/>
        <v>0</v>
      </c>
      <c r="N69" s="32"/>
    </row>
    <row r="70" spans="1:14">
      <c r="A70" s="26"/>
      <c r="B70" s="27"/>
      <c r="C70" s="27" t="s">
        <v>54</v>
      </c>
      <c r="D70" s="28" t="s">
        <v>299</v>
      </c>
      <c r="E70" s="29" t="s">
        <v>182</v>
      </c>
      <c r="F70" s="30"/>
      <c r="G70" s="41">
        <f>IF((G22-G37)&gt;0,(G22-G37),0)</f>
        <v>4915261</v>
      </c>
      <c r="H70" s="184">
        <f>IF((H22-H37)&gt;0,(H22-H37),0)</f>
        <v>2897081</v>
      </c>
      <c r="I70" s="32"/>
      <c r="J70" s="33">
        <v>1049</v>
      </c>
      <c r="K70" s="41">
        <v>4915261</v>
      </c>
      <c r="L70" s="34">
        <f t="shared" si="0"/>
        <v>0</v>
      </c>
      <c r="N70" s="32"/>
    </row>
    <row r="71" spans="1:14">
      <c r="A71" s="26"/>
      <c r="B71" s="27"/>
      <c r="C71" s="27" t="s">
        <v>55</v>
      </c>
      <c r="D71" s="28" t="s">
        <v>300</v>
      </c>
      <c r="E71" s="29" t="s">
        <v>183</v>
      </c>
      <c r="F71" s="30"/>
      <c r="G71" s="41">
        <f>IF((G22-G37)&lt;0,-(G22-G37),0)</f>
        <v>0</v>
      </c>
      <c r="H71" s="184">
        <f>IF((H22-H37)&lt;0,-(H22-H37),0)</f>
        <v>0</v>
      </c>
      <c r="I71" s="32"/>
      <c r="J71" s="33">
        <v>1050</v>
      </c>
      <c r="K71" s="41">
        <v>0</v>
      </c>
      <c r="L71" s="34">
        <f t="shared" si="0"/>
        <v>0</v>
      </c>
      <c r="N71" s="32"/>
    </row>
    <row r="72" spans="1:14" ht="25.5">
      <c r="A72" s="26"/>
      <c r="B72" s="27" t="s">
        <v>56</v>
      </c>
      <c r="C72" s="27"/>
      <c r="D72" s="42" t="s">
        <v>301</v>
      </c>
      <c r="E72" s="29"/>
      <c r="F72" s="30"/>
      <c r="G72" s="41"/>
      <c r="H72" s="184"/>
      <c r="I72" s="32"/>
      <c r="J72" s="43"/>
      <c r="K72" s="41"/>
      <c r="L72" s="45">
        <f t="shared" si="0"/>
        <v>0</v>
      </c>
      <c r="N72" s="32"/>
    </row>
    <row r="73" spans="1:14" ht="25.5">
      <c r="A73" s="26"/>
      <c r="B73" s="27"/>
      <c r="C73" s="27" t="s">
        <v>12</v>
      </c>
      <c r="D73" s="28" t="s">
        <v>302</v>
      </c>
      <c r="E73" s="29" t="s">
        <v>184</v>
      </c>
      <c r="F73" s="30"/>
      <c r="G73" s="41">
        <f>G74+G75+G79+G80+G81+G82+G83</f>
        <v>532247</v>
      </c>
      <c r="H73" s="184">
        <f>H74+H75+H79+H80+H81+H82+H83</f>
        <v>138045</v>
      </c>
      <c r="I73" s="32"/>
      <c r="J73" s="33">
        <v>1051</v>
      </c>
      <c r="K73" s="41">
        <v>532427</v>
      </c>
      <c r="L73" s="34">
        <f t="shared" si="0"/>
        <v>-180</v>
      </c>
      <c r="N73" s="32"/>
    </row>
    <row r="74" spans="1:14" ht="25.5">
      <c r="A74" s="46" t="s">
        <v>185</v>
      </c>
      <c r="B74" s="27"/>
      <c r="C74" s="27"/>
      <c r="D74" s="28" t="s">
        <v>186</v>
      </c>
      <c r="E74" s="29" t="s">
        <v>187</v>
      </c>
      <c r="F74" s="30"/>
      <c r="G74" s="108">
        <f>K74</f>
        <v>14782</v>
      </c>
      <c r="H74" s="186">
        <v>26433</v>
      </c>
      <c r="I74" s="32"/>
      <c r="J74" s="33">
        <v>1052</v>
      </c>
      <c r="K74" s="108">
        <v>14782</v>
      </c>
      <c r="L74" s="34">
        <f t="shared" si="0"/>
        <v>0</v>
      </c>
      <c r="N74" s="32"/>
    </row>
    <row r="75" spans="1:14" ht="15.75" customHeight="1">
      <c r="A75" s="26"/>
      <c r="B75" s="27"/>
      <c r="C75" s="27"/>
      <c r="D75" s="39" t="s">
        <v>188</v>
      </c>
      <c r="E75" s="29" t="s">
        <v>190</v>
      </c>
      <c r="F75" s="30"/>
      <c r="G75" s="108">
        <f>G76+G77+G78</f>
        <v>76560</v>
      </c>
      <c r="H75" s="186">
        <v>39743</v>
      </c>
      <c r="I75" s="32"/>
      <c r="J75" s="33">
        <v>1053</v>
      </c>
      <c r="K75" s="108">
        <v>76561</v>
      </c>
      <c r="L75" s="34">
        <f t="shared" si="0"/>
        <v>-1</v>
      </c>
      <c r="N75" s="32"/>
    </row>
    <row r="76" spans="1:14" ht="15.75" customHeight="1">
      <c r="A76" s="26" t="s">
        <v>192</v>
      </c>
      <c r="B76" s="27"/>
      <c r="C76" s="27"/>
      <c r="D76" s="39" t="s">
        <v>189</v>
      </c>
      <c r="E76" s="29" t="s">
        <v>191</v>
      </c>
      <c r="F76" s="30"/>
      <c r="G76" s="108">
        <f>K76</f>
        <v>41313</v>
      </c>
      <c r="H76" s="186">
        <v>39743</v>
      </c>
      <c r="I76" s="32"/>
      <c r="J76" s="33">
        <v>1054</v>
      </c>
      <c r="K76" s="108">
        <v>41313</v>
      </c>
      <c r="L76" s="34">
        <f t="shared" si="0"/>
        <v>0</v>
      </c>
      <c r="N76" s="32"/>
    </row>
    <row r="77" spans="1:14" ht="25.5">
      <c r="A77" s="26" t="s">
        <v>194</v>
      </c>
      <c r="B77" s="27"/>
      <c r="C77" s="27"/>
      <c r="D77" s="39" t="s">
        <v>193</v>
      </c>
      <c r="E77" s="29" t="s">
        <v>195</v>
      </c>
      <c r="F77" s="30"/>
      <c r="G77" s="108">
        <f t="shared" ref="G77:G83" si="6">K77</f>
        <v>35042</v>
      </c>
      <c r="H77" s="186">
        <v>0</v>
      </c>
      <c r="I77" s="32"/>
      <c r="J77" s="33">
        <v>1055</v>
      </c>
      <c r="K77" s="108">
        <v>35042</v>
      </c>
      <c r="L77" s="34">
        <f t="shared" si="0"/>
        <v>0</v>
      </c>
      <c r="N77" s="32"/>
    </row>
    <row r="78" spans="1:14">
      <c r="A78" s="26" t="s">
        <v>198</v>
      </c>
      <c r="B78" s="27"/>
      <c r="C78" s="27"/>
      <c r="D78" s="39" t="s">
        <v>196</v>
      </c>
      <c r="E78" s="29" t="s">
        <v>197</v>
      </c>
      <c r="F78" s="30"/>
      <c r="G78" s="108">
        <f t="shared" si="6"/>
        <v>205</v>
      </c>
      <c r="H78" s="186">
        <v>0</v>
      </c>
      <c r="I78" s="32"/>
      <c r="J78" s="33">
        <v>1056</v>
      </c>
      <c r="K78" s="108">
        <v>205</v>
      </c>
      <c r="L78" s="34">
        <f t="shared" si="0"/>
        <v>0</v>
      </c>
      <c r="N78" s="32"/>
    </row>
    <row r="79" spans="1:14">
      <c r="A79" s="26" t="s">
        <v>201</v>
      </c>
      <c r="B79" s="27"/>
      <c r="C79" s="27"/>
      <c r="D79" s="39" t="s">
        <v>199</v>
      </c>
      <c r="E79" s="29" t="s">
        <v>200</v>
      </c>
      <c r="F79" s="30"/>
      <c r="G79" s="108">
        <f t="shared" si="6"/>
        <v>52797</v>
      </c>
      <c r="H79" s="186">
        <v>11107</v>
      </c>
      <c r="I79" s="32"/>
      <c r="J79" s="33">
        <v>1057</v>
      </c>
      <c r="K79" s="108">
        <v>52797</v>
      </c>
      <c r="L79" s="34">
        <f t="shared" si="0"/>
        <v>0</v>
      </c>
      <c r="N79" s="32"/>
    </row>
    <row r="80" spans="1:14" ht="25.5">
      <c r="A80" s="46" t="s">
        <v>204</v>
      </c>
      <c r="B80" s="27"/>
      <c r="C80" s="27"/>
      <c r="D80" s="39" t="s">
        <v>202</v>
      </c>
      <c r="E80" s="29" t="s">
        <v>203</v>
      </c>
      <c r="F80" s="30"/>
      <c r="G80" s="108">
        <f>K80-180</f>
        <v>144656</v>
      </c>
      <c r="H80" s="186">
        <v>6967</v>
      </c>
      <c r="I80" s="32"/>
      <c r="J80" s="33">
        <v>1058</v>
      </c>
      <c r="K80" s="108">
        <v>144836</v>
      </c>
      <c r="L80" s="34">
        <f t="shared" si="0"/>
        <v>-180</v>
      </c>
      <c r="N80" s="32"/>
    </row>
    <row r="81" spans="1:14">
      <c r="A81" s="26" t="s">
        <v>206</v>
      </c>
      <c r="B81" s="27"/>
      <c r="C81" s="27"/>
      <c r="D81" s="39" t="s">
        <v>205</v>
      </c>
      <c r="E81" s="29" t="s">
        <v>207</v>
      </c>
      <c r="F81" s="30"/>
      <c r="G81" s="108">
        <f t="shared" si="6"/>
        <v>179101</v>
      </c>
      <c r="H81" s="186">
        <v>504</v>
      </c>
      <c r="I81" s="32"/>
      <c r="J81" s="33">
        <v>1059</v>
      </c>
      <c r="K81" s="108">
        <v>179101</v>
      </c>
      <c r="L81" s="34">
        <f t="shared" si="0"/>
        <v>0</v>
      </c>
      <c r="N81" s="32"/>
    </row>
    <row r="82" spans="1:14">
      <c r="A82" s="26" t="s">
        <v>210</v>
      </c>
      <c r="B82" s="27"/>
      <c r="C82" s="27"/>
      <c r="D82" s="39" t="s">
        <v>208</v>
      </c>
      <c r="E82" s="29" t="s">
        <v>209</v>
      </c>
      <c r="F82" s="30"/>
      <c r="G82" s="108">
        <f t="shared" si="6"/>
        <v>41882</v>
      </c>
      <c r="H82" s="186">
        <v>53291</v>
      </c>
      <c r="I82" s="32"/>
      <c r="J82" s="33">
        <v>1060</v>
      </c>
      <c r="K82" s="108">
        <v>41882</v>
      </c>
      <c r="L82" s="34">
        <f t="shared" si="0"/>
        <v>0</v>
      </c>
      <c r="N82" s="32"/>
    </row>
    <row r="83" spans="1:14" ht="50.25" customHeight="1">
      <c r="A83" s="46" t="s">
        <v>212</v>
      </c>
      <c r="B83" s="27"/>
      <c r="C83" s="27"/>
      <c r="D83" s="39" t="s">
        <v>211</v>
      </c>
      <c r="E83" s="29" t="s">
        <v>213</v>
      </c>
      <c r="F83" s="30"/>
      <c r="G83" s="108">
        <f t="shared" si="6"/>
        <v>22469</v>
      </c>
      <c r="H83" s="186">
        <v>0</v>
      </c>
      <c r="I83" s="32"/>
      <c r="J83" s="33">
        <v>1061</v>
      </c>
      <c r="K83" s="108">
        <v>22469</v>
      </c>
      <c r="L83" s="34">
        <f t="shared" si="0"/>
        <v>0</v>
      </c>
      <c r="N83" s="32"/>
    </row>
    <row r="84" spans="1:14" ht="25.5">
      <c r="A84" s="26"/>
      <c r="B84" s="27"/>
      <c r="C84" s="27" t="s">
        <v>22</v>
      </c>
      <c r="D84" s="28" t="s">
        <v>303</v>
      </c>
      <c r="E84" s="29" t="s">
        <v>214</v>
      </c>
      <c r="F84" s="30"/>
      <c r="G84" s="41">
        <f>G85+G86+G89+G90+G91+G92</f>
        <v>237955</v>
      </c>
      <c r="H84" s="184">
        <v>37156</v>
      </c>
      <c r="I84" s="32"/>
      <c r="J84" s="33">
        <v>1062</v>
      </c>
      <c r="K84" s="41">
        <v>238136</v>
      </c>
      <c r="L84" s="34">
        <f t="shared" si="0"/>
        <v>-181</v>
      </c>
      <c r="N84" s="32"/>
    </row>
    <row r="85" spans="1:14" ht="25.5">
      <c r="A85" s="46" t="s">
        <v>216</v>
      </c>
      <c r="B85" s="35"/>
      <c r="C85" s="35"/>
      <c r="D85" s="39" t="s">
        <v>215</v>
      </c>
      <c r="E85" s="29" t="s">
        <v>217</v>
      </c>
      <c r="F85" s="30"/>
      <c r="G85" s="189">
        <f>K85</f>
        <v>0</v>
      </c>
      <c r="H85" s="186">
        <v>0</v>
      </c>
      <c r="I85" s="32"/>
      <c r="J85" s="70">
        <v>1063</v>
      </c>
      <c r="K85" s="189">
        <v>0</v>
      </c>
      <c r="L85" s="71">
        <f t="shared" si="0"/>
        <v>0</v>
      </c>
      <c r="N85" s="32"/>
    </row>
    <row r="86" spans="1:14" ht="15">
      <c r="A86" s="26"/>
      <c r="B86" s="35"/>
      <c r="C86" s="35"/>
      <c r="D86" s="39" t="s">
        <v>304</v>
      </c>
      <c r="E86" s="29" t="s">
        <v>218</v>
      </c>
      <c r="F86" s="30"/>
      <c r="G86" s="189">
        <f>G87+G88</f>
        <v>143730</v>
      </c>
      <c r="H86" s="186">
        <v>0</v>
      </c>
      <c r="I86" s="32"/>
      <c r="J86" s="70">
        <v>1064</v>
      </c>
      <c r="K86" s="189">
        <v>143730</v>
      </c>
      <c r="L86" s="71">
        <f t="shared" ref="L86:L134" si="7">G86-K86</f>
        <v>0</v>
      </c>
      <c r="N86" s="32"/>
    </row>
    <row r="87" spans="1:14" ht="15">
      <c r="A87" s="26" t="s">
        <v>221</v>
      </c>
      <c r="B87" s="35"/>
      <c r="C87" s="35"/>
      <c r="D87" s="39" t="s">
        <v>219</v>
      </c>
      <c r="E87" s="29" t="s">
        <v>220</v>
      </c>
      <c r="F87" s="30"/>
      <c r="G87" s="189">
        <f t="shared" ref="G87:G92" si="8">K87</f>
        <v>143730</v>
      </c>
      <c r="H87" s="186">
        <v>0</v>
      </c>
      <c r="I87" s="32"/>
      <c r="J87" s="70">
        <v>1065</v>
      </c>
      <c r="K87" s="189">
        <v>143730</v>
      </c>
      <c r="L87" s="71">
        <f t="shared" si="7"/>
        <v>0</v>
      </c>
      <c r="N87" s="32"/>
    </row>
    <row r="88" spans="1:14" ht="15">
      <c r="A88" s="26" t="s">
        <v>224</v>
      </c>
      <c r="B88" s="35"/>
      <c r="C88" s="35"/>
      <c r="D88" s="39" t="s">
        <v>222</v>
      </c>
      <c r="E88" s="29" t="s">
        <v>223</v>
      </c>
      <c r="F88" s="30"/>
      <c r="G88" s="189">
        <f t="shared" si="8"/>
        <v>0</v>
      </c>
      <c r="H88" s="186">
        <v>0</v>
      </c>
      <c r="I88" s="32"/>
      <c r="J88" s="70">
        <v>1066</v>
      </c>
      <c r="K88" s="189">
        <v>0</v>
      </c>
      <c r="L88" s="71">
        <f t="shared" si="7"/>
        <v>0</v>
      </c>
      <c r="N88" s="32"/>
    </row>
    <row r="89" spans="1:14" ht="38.25">
      <c r="A89" s="46" t="s">
        <v>225</v>
      </c>
      <c r="B89" s="35"/>
      <c r="C89" s="35"/>
      <c r="D89" s="39" t="s">
        <v>326</v>
      </c>
      <c r="E89" s="29" t="s">
        <v>226</v>
      </c>
      <c r="F89" s="30"/>
      <c r="G89" s="189">
        <f>K89-180</f>
        <v>11121</v>
      </c>
      <c r="H89" s="186">
        <v>1599</v>
      </c>
      <c r="I89" s="32"/>
      <c r="J89" s="70">
        <v>1067</v>
      </c>
      <c r="K89" s="189">
        <v>11301</v>
      </c>
      <c r="L89" s="71">
        <f t="shared" si="7"/>
        <v>-180</v>
      </c>
      <c r="N89" s="32"/>
    </row>
    <row r="90" spans="1:14" ht="15">
      <c r="A90" s="26" t="s">
        <v>227</v>
      </c>
      <c r="B90" s="35"/>
      <c r="C90" s="35"/>
      <c r="D90" s="39" t="s">
        <v>327</v>
      </c>
      <c r="E90" s="29" t="s">
        <v>228</v>
      </c>
      <c r="F90" s="30"/>
      <c r="G90" s="189">
        <f t="shared" si="8"/>
        <v>66333</v>
      </c>
      <c r="H90" s="186">
        <v>0</v>
      </c>
      <c r="I90" s="32"/>
      <c r="J90" s="70">
        <v>1068</v>
      </c>
      <c r="K90" s="189">
        <v>66333</v>
      </c>
      <c r="L90" s="71">
        <f t="shared" si="7"/>
        <v>0</v>
      </c>
      <c r="N90" s="32"/>
    </row>
    <row r="91" spans="1:14" ht="15.75" customHeight="1">
      <c r="A91" s="26" t="s">
        <v>230</v>
      </c>
      <c r="B91" s="35"/>
      <c r="C91" s="35"/>
      <c r="D91" s="39" t="s">
        <v>328</v>
      </c>
      <c r="E91" s="29" t="s">
        <v>229</v>
      </c>
      <c r="F91" s="30"/>
      <c r="G91" s="189">
        <f t="shared" si="8"/>
        <v>16771</v>
      </c>
      <c r="H91" s="186">
        <v>35557</v>
      </c>
      <c r="I91" s="32"/>
      <c r="J91" s="70">
        <v>1069</v>
      </c>
      <c r="K91" s="189">
        <v>16771</v>
      </c>
      <c r="L91" s="71">
        <f t="shared" si="7"/>
        <v>0</v>
      </c>
      <c r="N91" s="32"/>
    </row>
    <row r="92" spans="1:14" ht="53.25" customHeight="1">
      <c r="A92" s="46" t="s">
        <v>231</v>
      </c>
      <c r="B92" s="35"/>
      <c r="C92" s="35"/>
      <c r="D92" s="39" t="s">
        <v>329</v>
      </c>
      <c r="E92" s="29" t="s">
        <v>232</v>
      </c>
      <c r="F92" s="30"/>
      <c r="G92" s="189">
        <f t="shared" si="8"/>
        <v>0</v>
      </c>
      <c r="H92" s="186">
        <v>0</v>
      </c>
      <c r="I92" s="32"/>
      <c r="J92" s="70">
        <v>1070</v>
      </c>
      <c r="K92" s="189">
        <v>0</v>
      </c>
      <c r="L92" s="71">
        <f t="shared" si="7"/>
        <v>0</v>
      </c>
      <c r="N92" s="32"/>
    </row>
    <row r="93" spans="1:14">
      <c r="A93" s="26"/>
      <c r="B93" s="27"/>
      <c r="C93" s="27" t="s">
        <v>54</v>
      </c>
      <c r="D93" s="28" t="s">
        <v>305</v>
      </c>
      <c r="E93" s="29" t="s">
        <v>233</v>
      </c>
      <c r="F93" s="30"/>
      <c r="G93" s="41">
        <f>IF((G73-G84)&gt;0,(G73-G84),0)</f>
        <v>294292</v>
      </c>
      <c r="H93" s="184">
        <f>IF((H73-H84)&gt;0,(H73-H84),0)</f>
        <v>100889</v>
      </c>
      <c r="I93" s="32"/>
      <c r="J93" s="33">
        <v>1071</v>
      </c>
      <c r="K93" s="41">
        <v>294292</v>
      </c>
      <c r="L93" s="34">
        <f t="shared" si="7"/>
        <v>0</v>
      </c>
      <c r="N93" s="32"/>
    </row>
    <row r="94" spans="1:14">
      <c r="A94" s="26"/>
      <c r="B94" s="27"/>
      <c r="C94" s="27" t="s">
        <v>55</v>
      </c>
      <c r="D94" s="28" t="s">
        <v>306</v>
      </c>
      <c r="E94" s="29" t="s">
        <v>234</v>
      </c>
      <c r="F94" s="30"/>
      <c r="G94" s="41">
        <f>IF((G73-G84)&lt;0,-(G73-G84),0)</f>
        <v>0</v>
      </c>
      <c r="H94" s="184">
        <f>IF((H73-H84)&lt;0,-(H73-H84),0)</f>
        <v>0</v>
      </c>
      <c r="I94" s="32"/>
      <c r="J94" s="33">
        <v>1072</v>
      </c>
      <c r="K94" s="41">
        <v>0</v>
      </c>
      <c r="L94" s="34">
        <f t="shared" si="7"/>
        <v>0</v>
      </c>
      <c r="N94" s="32"/>
    </row>
    <row r="95" spans="1:14" ht="24.75" customHeight="1">
      <c r="A95" s="42"/>
      <c r="B95" s="48" t="s">
        <v>84</v>
      </c>
      <c r="C95" s="48"/>
      <c r="D95" s="49" t="s">
        <v>307</v>
      </c>
      <c r="E95" s="29" t="s">
        <v>235</v>
      </c>
      <c r="F95" s="30"/>
      <c r="G95" s="41">
        <f>G96+G101+G106-G107</f>
        <v>3745238</v>
      </c>
      <c r="H95" s="184">
        <f>H96+H101+H106-H107</f>
        <v>3208717</v>
      </c>
      <c r="I95" s="32"/>
      <c r="J95" s="33">
        <v>1073</v>
      </c>
      <c r="K95" s="41">
        <v>3745239</v>
      </c>
      <c r="L95" s="34">
        <f t="shared" si="7"/>
        <v>-1</v>
      </c>
      <c r="N95" s="32"/>
    </row>
    <row r="96" spans="1:14" ht="13.5" customHeight="1">
      <c r="A96" s="29"/>
      <c r="B96" s="35"/>
      <c r="C96" s="35"/>
      <c r="D96" s="28" t="s">
        <v>308</v>
      </c>
      <c r="E96" s="29" t="s">
        <v>236</v>
      </c>
      <c r="F96" s="36"/>
      <c r="G96" s="83">
        <f>G97+G98-G99+G100</f>
        <v>2782216</v>
      </c>
      <c r="H96" s="185">
        <f>H97+H98-H99+H100</f>
        <v>2180149</v>
      </c>
      <c r="I96" s="32"/>
      <c r="J96" s="33">
        <v>1074</v>
      </c>
      <c r="K96" s="83">
        <v>2782216</v>
      </c>
      <c r="L96" s="34">
        <f t="shared" si="7"/>
        <v>0</v>
      </c>
      <c r="N96" s="32"/>
    </row>
    <row r="97" spans="1:14" ht="13.5" customHeight="1">
      <c r="A97" s="29" t="s">
        <v>57</v>
      </c>
      <c r="B97" s="35"/>
      <c r="C97" s="35"/>
      <c r="D97" s="39" t="s">
        <v>58</v>
      </c>
      <c r="E97" s="29" t="s">
        <v>237</v>
      </c>
      <c r="F97" s="30"/>
      <c r="G97" s="189">
        <f>285354+19671</f>
        <v>305025</v>
      </c>
      <c r="H97" s="186">
        <f>204798+39550</f>
        <v>244348</v>
      </c>
      <c r="I97" s="32"/>
      <c r="J97" s="33">
        <v>1075</v>
      </c>
      <c r="K97" s="189">
        <v>285354</v>
      </c>
      <c r="L97" s="34">
        <f t="shared" si="7"/>
        <v>19671</v>
      </c>
      <c r="N97" s="32"/>
    </row>
    <row r="98" spans="1:14" ht="25.5" customHeight="1">
      <c r="A98" s="29" t="s">
        <v>59</v>
      </c>
      <c r="B98" s="35"/>
      <c r="C98" s="35"/>
      <c r="D98" s="39" t="s">
        <v>60</v>
      </c>
      <c r="E98" s="29" t="s">
        <v>238</v>
      </c>
      <c r="F98" s="30"/>
      <c r="G98" s="189">
        <f>2496862+270676</f>
        <v>2767538</v>
      </c>
      <c r="H98" s="186">
        <f>1975351+103640</f>
        <v>2078991</v>
      </c>
      <c r="I98" s="32"/>
      <c r="J98" s="33">
        <v>1076</v>
      </c>
      <c r="K98" s="189">
        <v>2496862</v>
      </c>
      <c r="L98" s="34">
        <f t="shared" si="7"/>
        <v>270676</v>
      </c>
      <c r="N98" s="32"/>
    </row>
    <row r="99" spans="1:14" ht="25.5" customHeight="1">
      <c r="A99" s="29" t="s">
        <v>61</v>
      </c>
      <c r="B99" s="35"/>
      <c r="C99" s="35"/>
      <c r="D99" s="39" t="s">
        <v>62</v>
      </c>
      <c r="E99" s="29" t="s">
        <v>239</v>
      </c>
      <c r="F99" s="30"/>
      <c r="G99" s="189">
        <v>290347</v>
      </c>
      <c r="H99" s="186">
        <v>143190</v>
      </c>
      <c r="I99" s="32"/>
      <c r="J99" s="33">
        <v>1077</v>
      </c>
      <c r="K99" s="189">
        <v>0</v>
      </c>
      <c r="L99" s="34">
        <f t="shared" si="7"/>
        <v>290347</v>
      </c>
      <c r="N99" s="32"/>
    </row>
    <row r="100" spans="1:14" ht="15" customHeight="1">
      <c r="A100" s="29" t="s">
        <v>61</v>
      </c>
      <c r="B100" s="35"/>
      <c r="C100" s="35"/>
      <c r="D100" s="39" t="s">
        <v>63</v>
      </c>
      <c r="E100" s="29" t="s">
        <v>240</v>
      </c>
      <c r="F100" s="30"/>
      <c r="G100" s="189">
        <v>0</v>
      </c>
      <c r="H100" s="186"/>
      <c r="I100" s="32"/>
      <c r="J100" s="33">
        <v>1078</v>
      </c>
      <c r="K100" s="189">
        <v>0</v>
      </c>
      <c r="L100" s="34">
        <f t="shared" si="7"/>
        <v>0</v>
      </c>
      <c r="N100" s="32"/>
    </row>
    <row r="101" spans="1:14" ht="15" customHeight="1">
      <c r="A101" s="29"/>
      <c r="B101" s="35"/>
      <c r="C101" s="35"/>
      <c r="D101" s="28" t="s">
        <v>309</v>
      </c>
      <c r="E101" s="29" t="s">
        <v>241</v>
      </c>
      <c r="F101" s="36"/>
      <c r="G101" s="83">
        <f>G102+G103+G104+G105</f>
        <v>909106</v>
      </c>
      <c r="H101" s="185">
        <f>H102+H103+H104+H105</f>
        <v>984363</v>
      </c>
      <c r="I101" s="32"/>
      <c r="J101" s="33">
        <v>1079</v>
      </c>
      <c r="K101" s="83">
        <v>909107</v>
      </c>
      <c r="L101" s="34">
        <f t="shared" si="7"/>
        <v>-1</v>
      </c>
      <c r="N101" s="32"/>
    </row>
    <row r="102" spans="1:14" ht="13.5" customHeight="1">
      <c r="A102" s="29" t="s">
        <v>64</v>
      </c>
      <c r="B102" s="35"/>
      <c r="C102" s="35"/>
      <c r="D102" s="39" t="s">
        <v>65</v>
      </c>
      <c r="E102" s="29" t="s">
        <v>242</v>
      </c>
      <c r="F102" s="30"/>
      <c r="G102" s="189">
        <f>K102</f>
        <v>221019</v>
      </c>
      <c r="H102" s="186">
        <v>194526</v>
      </c>
      <c r="I102" s="32"/>
      <c r="J102" s="33">
        <v>1080</v>
      </c>
      <c r="K102" s="189">
        <v>221019</v>
      </c>
      <c r="L102" s="34">
        <f t="shared" si="7"/>
        <v>0</v>
      </c>
      <c r="N102" s="32"/>
    </row>
    <row r="103" spans="1:14" ht="25.5" customHeight="1">
      <c r="A103" s="29" t="s">
        <v>66</v>
      </c>
      <c r="B103" s="35"/>
      <c r="C103" s="35"/>
      <c r="D103" s="39" t="s">
        <v>67</v>
      </c>
      <c r="E103" s="29" t="s">
        <v>243</v>
      </c>
      <c r="F103" s="30"/>
      <c r="G103" s="189">
        <f t="shared" ref="G103:G107" si="9">K103</f>
        <v>206711</v>
      </c>
      <c r="H103" s="186">
        <v>191742</v>
      </c>
      <c r="I103" s="32"/>
      <c r="J103" s="33">
        <v>1081</v>
      </c>
      <c r="K103" s="189">
        <v>206711</v>
      </c>
      <c r="L103" s="34">
        <f t="shared" si="7"/>
        <v>0</v>
      </c>
      <c r="N103" s="32"/>
    </row>
    <row r="104" spans="1:14" ht="15" customHeight="1">
      <c r="A104" s="29" t="s">
        <v>68</v>
      </c>
      <c r="B104" s="35"/>
      <c r="C104" s="35"/>
      <c r="D104" s="39" t="s">
        <v>69</v>
      </c>
      <c r="E104" s="29" t="s">
        <v>244</v>
      </c>
      <c r="F104" s="30"/>
      <c r="G104" s="189">
        <f t="shared" si="9"/>
        <v>410636</v>
      </c>
      <c r="H104" s="186">
        <v>510657</v>
      </c>
      <c r="I104" s="32"/>
      <c r="J104" s="33">
        <v>1082</v>
      </c>
      <c r="K104" s="189">
        <v>410636</v>
      </c>
      <c r="L104" s="34">
        <f t="shared" si="7"/>
        <v>0</v>
      </c>
      <c r="N104" s="32"/>
    </row>
    <row r="105" spans="1:14" ht="25.5" customHeight="1">
      <c r="A105" s="29" t="s">
        <v>37</v>
      </c>
      <c r="B105" s="35"/>
      <c r="C105" s="35"/>
      <c r="D105" s="39" t="s">
        <v>70</v>
      </c>
      <c r="E105" s="29" t="s">
        <v>245</v>
      </c>
      <c r="F105" s="30"/>
      <c r="G105" s="189">
        <f t="shared" si="9"/>
        <v>70740</v>
      </c>
      <c r="H105" s="186">
        <v>87438</v>
      </c>
      <c r="I105" s="32"/>
      <c r="J105" s="33">
        <v>1083</v>
      </c>
      <c r="K105" s="189">
        <v>70740</v>
      </c>
      <c r="L105" s="34">
        <f t="shared" si="7"/>
        <v>0</v>
      </c>
      <c r="N105" s="32"/>
    </row>
    <row r="106" spans="1:14" ht="23.25" customHeight="1">
      <c r="A106" s="29" t="s">
        <v>37</v>
      </c>
      <c r="B106" s="35"/>
      <c r="C106" s="35"/>
      <c r="D106" s="28" t="s">
        <v>71</v>
      </c>
      <c r="E106" s="29" t="s">
        <v>246</v>
      </c>
      <c r="F106" s="36"/>
      <c r="G106" s="83">
        <f>K106</f>
        <v>64961</v>
      </c>
      <c r="H106" s="185">
        <v>53424</v>
      </c>
      <c r="I106" s="32"/>
      <c r="J106" s="33">
        <v>1084</v>
      </c>
      <c r="K106" s="83">
        <v>64961</v>
      </c>
      <c r="L106" s="34">
        <f t="shared" si="7"/>
        <v>0</v>
      </c>
      <c r="N106" s="32"/>
    </row>
    <row r="107" spans="1:14" ht="16.5" customHeight="1">
      <c r="A107" s="29" t="s">
        <v>72</v>
      </c>
      <c r="B107" s="35"/>
      <c r="C107" s="35"/>
      <c r="D107" s="28" t="s">
        <v>73</v>
      </c>
      <c r="E107" s="29" t="s">
        <v>247</v>
      </c>
      <c r="F107" s="36"/>
      <c r="G107" s="83">
        <f t="shared" si="9"/>
        <v>11045</v>
      </c>
      <c r="H107" s="185">
        <v>9219</v>
      </c>
      <c r="I107" s="32"/>
      <c r="J107" s="33">
        <v>1085</v>
      </c>
      <c r="K107" s="83">
        <v>11045</v>
      </c>
      <c r="L107" s="34">
        <f t="shared" si="7"/>
        <v>0</v>
      </c>
      <c r="N107" s="32"/>
    </row>
    <row r="108" spans="1:14" ht="25.5">
      <c r="A108" s="26"/>
      <c r="B108" s="27"/>
      <c r="C108" s="27" t="s">
        <v>12</v>
      </c>
      <c r="D108" s="28" t="s">
        <v>310</v>
      </c>
      <c r="E108" s="29" t="s">
        <v>248</v>
      </c>
      <c r="F108" s="30"/>
      <c r="G108" s="191">
        <f>IF((G70+G93-G71-G94-G95)&gt;0,(G70+G93-G71-G94-G95),0)</f>
        <v>1464315</v>
      </c>
      <c r="H108" s="188">
        <f>IF((H70+H93-H71-H94-H95)&gt;0,(H70+H93-H71-H94-H95),0)</f>
        <v>0</v>
      </c>
      <c r="I108" s="32"/>
      <c r="J108" s="33">
        <v>1086</v>
      </c>
      <c r="K108" s="191">
        <v>1464314</v>
      </c>
      <c r="L108" s="34">
        <f t="shared" si="7"/>
        <v>1</v>
      </c>
      <c r="N108" s="32"/>
    </row>
    <row r="109" spans="1:14" ht="25.5">
      <c r="A109" s="26"/>
      <c r="B109" s="27"/>
      <c r="C109" s="27" t="s">
        <v>22</v>
      </c>
      <c r="D109" s="28" t="s">
        <v>311</v>
      </c>
      <c r="E109" s="29" t="s">
        <v>249</v>
      </c>
      <c r="F109" s="30"/>
      <c r="G109" s="191">
        <f>IF((G70+G93-G71-G94-G95)&lt;0,-(G70+G93-G71-G94-G95),0)</f>
        <v>0</v>
      </c>
      <c r="H109" s="188">
        <f>IF((H70+H93-H71-H94-H95)&lt;0,-(H70+H93-H71-H94-H95),0)</f>
        <v>210747</v>
      </c>
      <c r="I109" s="32"/>
      <c r="J109" s="33">
        <v>1087</v>
      </c>
      <c r="K109" s="191">
        <v>0</v>
      </c>
      <c r="L109" s="34">
        <f t="shared" si="7"/>
        <v>0</v>
      </c>
      <c r="N109" s="32"/>
    </row>
    <row r="110" spans="1:14" ht="25.5">
      <c r="A110" s="29" t="s">
        <v>74</v>
      </c>
      <c r="B110" s="35"/>
      <c r="C110" s="27" t="s">
        <v>54</v>
      </c>
      <c r="D110" s="28" t="s">
        <v>250</v>
      </c>
      <c r="E110" s="29" t="s">
        <v>251</v>
      </c>
      <c r="F110" s="36"/>
      <c r="G110" s="83">
        <f>K110</f>
        <v>105981</v>
      </c>
      <c r="H110" s="185">
        <v>150008</v>
      </c>
      <c r="I110" s="32"/>
      <c r="J110" s="33">
        <v>1088</v>
      </c>
      <c r="K110" s="83">
        <v>105981</v>
      </c>
      <c r="L110" s="34">
        <f t="shared" si="7"/>
        <v>0</v>
      </c>
      <c r="N110" s="32"/>
    </row>
    <row r="111" spans="1:14" ht="34.5" customHeight="1">
      <c r="A111" s="29" t="s">
        <v>75</v>
      </c>
      <c r="B111" s="35"/>
      <c r="C111" s="27" t="s">
        <v>55</v>
      </c>
      <c r="D111" s="28" t="s">
        <v>252</v>
      </c>
      <c r="E111" s="29" t="s">
        <v>253</v>
      </c>
      <c r="F111" s="36"/>
      <c r="G111" s="83">
        <f t="shared" ref="G111:G113" si="10">K111</f>
        <v>31760</v>
      </c>
      <c r="H111" s="185">
        <v>26857</v>
      </c>
      <c r="I111" s="32"/>
      <c r="J111" s="33">
        <v>1089</v>
      </c>
      <c r="K111" s="83">
        <v>31760</v>
      </c>
      <c r="L111" s="34">
        <f t="shared" si="7"/>
        <v>0</v>
      </c>
      <c r="N111" s="32"/>
    </row>
    <row r="112" spans="1:14" ht="38.25">
      <c r="A112" s="29" t="s">
        <v>254</v>
      </c>
      <c r="B112" s="35"/>
      <c r="C112" s="27" t="s">
        <v>76</v>
      </c>
      <c r="D112" s="28" t="s">
        <v>255</v>
      </c>
      <c r="E112" s="29" t="s">
        <v>256</v>
      </c>
      <c r="F112" s="36"/>
      <c r="G112" s="83">
        <f t="shared" si="10"/>
        <v>169711</v>
      </c>
      <c r="H112" s="185">
        <v>178878</v>
      </c>
      <c r="I112" s="32"/>
      <c r="J112" s="33">
        <v>1090</v>
      </c>
      <c r="K112" s="83">
        <v>169711</v>
      </c>
      <c r="L112" s="34">
        <f t="shared" si="7"/>
        <v>0</v>
      </c>
      <c r="N112" s="32"/>
    </row>
    <row r="113" spans="1:14" ht="38.25">
      <c r="A113" s="29" t="s">
        <v>257</v>
      </c>
      <c r="B113" s="35"/>
      <c r="C113" s="27" t="s">
        <v>77</v>
      </c>
      <c r="D113" s="28" t="s">
        <v>258</v>
      </c>
      <c r="E113" s="29" t="s">
        <v>259</v>
      </c>
      <c r="F113" s="36"/>
      <c r="G113" s="83">
        <f t="shared" si="10"/>
        <v>565736</v>
      </c>
      <c r="H113" s="185">
        <v>377080</v>
      </c>
      <c r="I113" s="32"/>
      <c r="J113" s="33">
        <v>1091</v>
      </c>
      <c r="K113" s="83">
        <v>565736</v>
      </c>
      <c r="L113" s="34">
        <f t="shared" si="7"/>
        <v>0</v>
      </c>
      <c r="N113" s="32"/>
    </row>
    <row r="114" spans="1:14">
      <c r="A114" s="29" t="s">
        <v>264</v>
      </c>
      <c r="B114" s="35"/>
      <c r="C114" s="27" t="s">
        <v>78</v>
      </c>
      <c r="D114" s="28" t="s">
        <v>260</v>
      </c>
      <c r="E114" s="29" t="s">
        <v>262</v>
      </c>
      <c r="F114" s="36"/>
      <c r="G114" s="83">
        <f>K114</f>
        <v>45594</v>
      </c>
      <c r="H114" s="185">
        <v>38053</v>
      </c>
      <c r="I114" s="32"/>
      <c r="J114" s="33">
        <v>1092</v>
      </c>
      <c r="K114" s="83">
        <v>45594</v>
      </c>
      <c r="L114" s="34">
        <f t="shared" si="7"/>
        <v>0</v>
      </c>
      <c r="N114" s="32"/>
    </row>
    <row r="115" spans="1:14">
      <c r="A115" s="29" t="s">
        <v>265</v>
      </c>
      <c r="B115" s="35"/>
      <c r="C115" s="27" t="s">
        <v>79</v>
      </c>
      <c r="D115" s="28" t="s">
        <v>261</v>
      </c>
      <c r="E115" s="29" t="s">
        <v>263</v>
      </c>
      <c r="F115" s="36"/>
      <c r="G115" s="83">
        <f>K115+1</f>
        <v>146747</v>
      </c>
      <c r="H115" s="185">
        <f>13191-5</f>
        <v>13186</v>
      </c>
      <c r="I115" s="32"/>
      <c r="J115" s="33">
        <v>1093</v>
      </c>
      <c r="K115" s="83">
        <v>146746</v>
      </c>
      <c r="L115" s="34">
        <f t="shared" si="7"/>
        <v>1</v>
      </c>
      <c r="N115" s="32"/>
    </row>
    <row r="116" spans="1:14" ht="38.25">
      <c r="A116" s="26"/>
      <c r="B116" s="27"/>
      <c r="C116" s="27" t="s">
        <v>81</v>
      </c>
      <c r="D116" s="28" t="s">
        <v>312</v>
      </c>
      <c r="E116" s="29" t="s">
        <v>267</v>
      </c>
      <c r="F116" s="30"/>
      <c r="G116" s="191">
        <f>IF((G108+G110+G112+G114-G109-G111-G113-G115)&gt;0,(G108+G110+G112+G114-G109-G111-G113-G115),0)</f>
        <v>1041358</v>
      </c>
      <c r="H116" s="188">
        <f>IF((H108+H110+H112+H114-H109-H111-H113-H115)&gt;0,(H108+H110+H112+H114-H109-H111-H113-H115),0)</f>
        <v>0</v>
      </c>
      <c r="I116" s="32"/>
      <c r="J116" s="33">
        <v>1094</v>
      </c>
      <c r="K116" s="191">
        <v>1041358</v>
      </c>
      <c r="L116" s="34">
        <f t="shared" si="7"/>
        <v>0</v>
      </c>
      <c r="N116" s="32"/>
    </row>
    <row r="117" spans="1:14" ht="38.25">
      <c r="A117" s="26"/>
      <c r="B117" s="27"/>
      <c r="C117" s="27" t="s">
        <v>83</v>
      </c>
      <c r="D117" s="28" t="s">
        <v>313</v>
      </c>
      <c r="E117" s="29" t="s">
        <v>268</v>
      </c>
      <c r="F117" s="30"/>
      <c r="G117" s="41">
        <f>IF((G108+G110+G112+G114-G109-G111-G113-G115)&lt;0,-(G108+G110+G112+G114-G109-G111-G113-G115),0)</f>
        <v>0</v>
      </c>
      <c r="H117" s="184">
        <f>IF((H108+H110+H112+H114-H109-H111-H113-H115)&lt;0,-(H108+H110+H112+H114-H109-H111-H113-H115),0)</f>
        <v>260931</v>
      </c>
      <c r="I117" s="32"/>
      <c r="J117" s="33">
        <v>1095</v>
      </c>
      <c r="K117" s="41">
        <v>0</v>
      </c>
      <c r="L117" s="34">
        <f t="shared" si="7"/>
        <v>0</v>
      </c>
      <c r="N117" s="32"/>
    </row>
    <row r="118" spans="1:14" ht="51">
      <c r="A118" s="29" t="s">
        <v>80</v>
      </c>
      <c r="B118" s="35"/>
      <c r="C118" s="27" t="s">
        <v>314</v>
      </c>
      <c r="D118" s="28" t="s">
        <v>266</v>
      </c>
      <c r="E118" s="29" t="s">
        <v>269</v>
      </c>
      <c r="F118" s="36"/>
      <c r="G118" s="83">
        <f>K118</f>
        <v>0</v>
      </c>
      <c r="H118" s="185">
        <f>12033-12033</f>
        <v>0</v>
      </c>
      <c r="I118" s="32"/>
      <c r="J118" s="33">
        <v>1096</v>
      </c>
      <c r="K118" s="83">
        <v>0</v>
      </c>
      <c r="L118" s="34">
        <f t="shared" si="7"/>
        <v>0</v>
      </c>
      <c r="N118" s="32"/>
    </row>
    <row r="119" spans="1:14" ht="51">
      <c r="A119" s="29" t="s">
        <v>82</v>
      </c>
      <c r="B119" s="35"/>
      <c r="C119" s="27" t="s">
        <v>315</v>
      </c>
      <c r="D119" s="28" t="s">
        <v>270</v>
      </c>
      <c r="E119" s="29" t="s">
        <v>271</v>
      </c>
      <c r="F119" s="36"/>
      <c r="G119" s="83">
        <f>K119</f>
        <v>1028</v>
      </c>
      <c r="H119" s="185">
        <v>0</v>
      </c>
      <c r="I119" s="32"/>
      <c r="J119" s="33">
        <v>1097</v>
      </c>
      <c r="K119" s="83">
        <v>1028</v>
      </c>
      <c r="L119" s="34">
        <f t="shared" si="7"/>
        <v>0</v>
      </c>
      <c r="N119" s="32"/>
    </row>
    <row r="120" spans="1:14" ht="25.5" customHeight="1">
      <c r="A120" s="29"/>
      <c r="B120" s="27" t="s">
        <v>85</v>
      </c>
      <c r="C120" s="35"/>
      <c r="D120" s="28" t="s">
        <v>316</v>
      </c>
      <c r="E120" s="29" t="s">
        <v>278</v>
      </c>
      <c r="F120" s="36"/>
      <c r="G120" s="83">
        <f>IF((G116+G118-G117-G119)&gt;0,(G116+G118-G117-G119),0)</f>
        <v>1040330</v>
      </c>
      <c r="H120" s="185">
        <f>IF((H116+H118-H117-H119)&gt;0,(H116+H118-H117-H119),0)</f>
        <v>0</v>
      </c>
      <c r="I120" s="32"/>
      <c r="J120" s="33">
        <v>1098</v>
      </c>
      <c r="K120" s="83">
        <v>1040330</v>
      </c>
      <c r="L120" s="34">
        <f t="shared" si="7"/>
        <v>0</v>
      </c>
      <c r="N120" s="32"/>
    </row>
    <row r="121" spans="1:14" ht="25.5" customHeight="1">
      <c r="A121" s="29"/>
      <c r="B121" s="27" t="s">
        <v>86</v>
      </c>
      <c r="C121" s="35"/>
      <c r="D121" s="28" t="s">
        <v>317</v>
      </c>
      <c r="E121" s="29" t="s">
        <v>279</v>
      </c>
      <c r="F121" s="36"/>
      <c r="G121" s="83">
        <f>IF((G116+G118-G117-G119)&lt;0,-(G116+G118-G117-G119),0)</f>
        <v>0</v>
      </c>
      <c r="H121" s="185">
        <f>IF((H116+H118-H117-H119)&lt;0,-(H116+H118-H117-H119),0)</f>
        <v>260931</v>
      </c>
      <c r="I121" s="32"/>
      <c r="J121" s="33">
        <v>1099</v>
      </c>
      <c r="K121" s="83">
        <v>0</v>
      </c>
      <c r="L121" s="34">
        <f t="shared" si="7"/>
        <v>0</v>
      </c>
      <c r="N121" s="32"/>
    </row>
    <row r="122" spans="1:14" ht="20.100000000000001" customHeight="1">
      <c r="A122" s="29"/>
      <c r="B122" s="27" t="s">
        <v>90</v>
      </c>
      <c r="C122" s="35"/>
      <c r="D122" s="28" t="s">
        <v>102</v>
      </c>
      <c r="E122" s="29"/>
      <c r="F122" s="50"/>
      <c r="G122" s="189"/>
      <c r="H122" s="186"/>
      <c r="I122" s="32"/>
      <c r="J122" s="43"/>
      <c r="K122" s="189"/>
      <c r="L122" s="45">
        <f t="shared" si="7"/>
        <v>0</v>
      </c>
      <c r="N122" s="32"/>
    </row>
    <row r="123" spans="1:14" ht="20.100000000000001" customHeight="1">
      <c r="A123" s="29">
        <v>721</v>
      </c>
      <c r="B123" s="35"/>
      <c r="C123" s="35"/>
      <c r="D123" s="28" t="s">
        <v>87</v>
      </c>
      <c r="E123" s="29" t="s">
        <v>280</v>
      </c>
      <c r="F123" s="30"/>
      <c r="G123" s="189">
        <f t="shared" ref="G123:G125" si="11">K123</f>
        <v>0</v>
      </c>
      <c r="H123" s="186">
        <v>0</v>
      </c>
      <c r="I123" s="32"/>
      <c r="J123" s="33">
        <v>1100</v>
      </c>
      <c r="K123" s="189">
        <v>0</v>
      </c>
      <c r="L123" s="34">
        <f t="shared" si="7"/>
        <v>0</v>
      </c>
      <c r="N123" s="32"/>
    </row>
    <row r="124" spans="1:14" ht="38.25">
      <c r="A124" s="29">
        <v>342</v>
      </c>
      <c r="B124" s="35"/>
      <c r="C124" s="35"/>
      <c r="D124" s="51" t="s">
        <v>88</v>
      </c>
      <c r="E124" s="29" t="s">
        <v>281</v>
      </c>
      <c r="F124" s="30"/>
      <c r="G124" s="189"/>
      <c r="H124" s="186">
        <v>0</v>
      </c>
      <c r="I124" s="32"/>
      <c r="J124" s="33">
        <v>1101</v>
      </c>
      <c r="K124" s="189">
        <v>0</v>
      </c>
      <c r="L124" s="34">
        <f t="shared" si="7"/>
        <v>0</v>
      </c>
      <c r="N124" s="32"/>
    </row>
    <row r="125" spans="1:14" ht="38.25">
      <c r="A125" s="29">
        <v>352</v>
      </c>
      <c r="B125" s="35"/>
      <c r="C125" s="35"/>
      <c r="D125" s="51" t="s">
        <v>89</v>
      </c>
      <c r="E125" s="29" t="s">
        <v>282</v>
      </c>
      <c r="F125" s="30"/>
      <c r="G125" s="189">
        <f t="shared" si="11"/>
        <v>0</v>
      </c>
      <c r="H125" s="186">
        <v>0</v>
      </c>
      <c r="I125" s="32"/>
      <c r="J125" s="33">
        <v>1102</v>
      </c>
      <c r="K125" s="189">
        <v>0</v>
      </c>
      <c r="L125" s="34">
        <f t="shared" si="7"/>
        <v>0</v>
      </c>
      <c r="N125" s="32"/>
    </row>
    <row r="126" spans="1:14">
      <c r="A126" s="29"/>
      <c r="B126" s="27" t="s">
        <v>91</v>
      </c>
      <c r="C126" s="27"/>
      <c r="D126" s="52" t="s">
        <v>318</v>
      </c>
      <c r="E126" s="29" t="s">
        <v>283</v>
      </c>
      <c r="F126" s="30"/>
      <c r="G126" s="191">
        <f>IF((G120-G121-G123+G124-G125)&gt;0,G120-G121-G123+G124-G125,"0")</f>
        <v>1040330</v>
      </c>
      <c r="H126" s="188" t="s">
        <v>330</v>
      </c>
      <c r="I126" s="32"/>
      <c r="J126" s="33">
        <v>1103</v>
      </c>
      <c r="K126" s="191">
        <v>1040330</v>
      </c>
      <c r="L126" s="34">
        <f t="shared" si="7"/>
        <v>0</v>
      </c>
      <c r="N126" s="32"/>
    </row>
    <row r="127" spans="1:14">
      <c r="A127" s="29"/>
      <c r="B127" s="27"/>
      <c r="C127" s="27"/>
      <c r="D127" s="53" t="s">
        <v>272</v>
      </c>
      <c r="E127" s="29" t="s">
        <v>284</v>
      </c>
      <c r="F127" s="30"/>
      <c r="G127" s="41"/>
      <c r="H127" s="184"/>
      <c r="I127" s="32"/>
      <c r="J127" s="33">
        <v>1104</v>
      </c>
      <c r="K127" s="41">
        <v>0</v>
      </c>
      <c r="L127" s="34">
        <f t="shared" si="7"/>
        <v>0</v>
      </c>
      <c r="N127" s="32"/>
    </row>
    <row r="128" spans="1:14">
      <c r="A128" s="29"/>
      <c r="B128" s="27"/>
      <c r="C128" s="27"/>
      <c r="D128" s="53" t="s">
        <v>273</v>
      </c>
      <c r="E128" s="29" t="s">
        <v>285</v>
      </c>
      <c r="F128" s="30"/>
      <c r="G128" s="41"/>
      <c r="H128" s="184"/>
      <c r="I128" s="32"/>
      <c r="J128" s="33">
        <v>1105</v>
      </c>
      <c r="K128" s="41">
        <v>0</v>
      </c>
      <c r="L128" s="34">
        <f t="shared" si="7"/>
        <v>0</v>
      </c>
      <c r="N128" s="32"/>
    </row>
    <row r="129" spans="1:15">
      <c r="A129" s="29"/>
      <c r="B129" s="27" t="s">
        <v>92</v>
      </c>
      <c r="C129" s="27"/>
      <c r="D129" s="28" t="s">
        <v>319</v>
      </c>
      <c r="E129" s="29" t="s">
        <v>286</v>
      </c>
      <c r="F129" s="30"/>
      <c r="G129" s="191" t="str">
        <f>IF((G120-G121-G123+G124-G125)&lt;0,-(G120-G121-G123+G124-G125),"0")</f>
        <v>0</v>
      </c>
      <c r="H129" s="188">
        <f>IF((H120-H121-H123+H124-H125)&lt;0,-(H120-H121-H123+H124-H125),"0")</f>
        <v>260931</v>
      </c>
      <c r="I129" s="32"/>
      <c r="J129" s="33">
        <v>1106</v>
      </c>
      <c r="K129" s="191">
        <v>0</v>
      </c>
      <c r="L129" s="34">
        <f t="shared" si="7"/>
        <v>0</v>
      </c>
      <c r="N129" s="32"/>
      <c r="O129" s="188">
        <v>260931</v>
      </c>
    </row>
    <row r="130" spans="1:15">
      <c r="A130" s="29"/>
      <c r="B130" s="27"/>
      <c r="C130" s="27"/>
      <c r="D130" s="39" t="s">
        <v>274</v>
      </c>
      <c r="E130" s="29" t="s">
        <v>287</v>
      </c>
      <c r="F130" s="30"/>
      <c r="G130" s="189">
        <v>0</v>
      </c>
      <c r="H130" s="186">
        <v>0</v>
      </c>
      <c r="I130" s="32"/>
      <c r="J130" s="33">
        <v>1107</v>
      </c>
      <c r="K130" s="189">
        <v>0</v>
      </c>
      <c r="L130" s="34">
        <f t="shared" si="7"/>
        <v>0</v>
      </c>
      <c r="N130" s="32"/>
      <c r="O130" s="188">
        <v>1040330</v>
      </c>
    </row>
    <row r="131" spans="1:15">
      <c r="A131" s="29"/>
      <c r="B131" s="27"/>
      <c r="C131" s="27"/>
      <c r="D131" s="39" t="s">
        <v>275</v>
      </c>
      <c r="E131" s="29" t="s">
        <v>288</v>
      </c>
      <c r="F131" s="30"/>
      <c r="G131" s="189">
        <v>0</v>
      </c>
      <c r="H131" s="186">
        <v>0</v>
      </c>
      <c r="I131" s="32"/>
      <c r="J131" s="33">
        <v>1108</v>
      </c>
      <c r="K131" s="189">
        <v>0</v>
      </c>
      <c r="L131" s="34">
        <f t="shared" si="7"/>
        <v>0</v>
      </c>
      <c r="N131" s="32"/>
    </row>
    <row r="132" spans="1:15">
      <c r="A132" s="29"/>
      <c r="B132" s="27" t="s">
        <v>93</v>
      </c>
      <c r="C132" s="27"/>
      <c r="D132" s="28" t="s">
        <v>94</v>
      </c>
      <c r="E132" s="29"/>
      <c r="F132" s="30"/>
      <c r="G132" s="189">
        <v>0</v>
      </c>
      <c r="H132" s="186">
        <v>0</v>
      </c>
      <c r="I132" s="32"/>
      <c r="J132" s="33">
        <v>1109</v>
      </c>
      <c r="K132" s="189">
        <v>0</v>
      </c>
      <c r="L132" s="34">
        <f t="shared" si="7"/>
        <v>0</v>
      </c>
      <c r="N132" s="32"/>
    </row>
    <row r="133" spans="1:15">
      <c r="A133" s="29"/>
      <c r="B133" s="27"/>
      <c r="C133" s="27"/>
      <c r="D133" s="39" t="s">
        <v>276</v>
      </c>
      <c r="E133" s="29" t="s">
        <v>289</v>
      </c>
      <c r="F133" s="30"/>
      <c r="G133" s="189">
        <v>0</v>
      </c>
      <c r="H133" s="186">
        <v>0</v>
      </c>
      <c r="I133" s="32"/>
      <c r="J133" s="33">
        <v>1110</v>
      </c>
      <c r="K133" s="189">
        <v>0</v>
      </c>
      <c r="L133" s="34">
        <f t="shared" si="7"/>
        <v>0</v>
      </c>
      <c r="N133" s="32"/>
    </row>
    <row r="134" spans="1:15" ht="25.5">
      <c r="A134" s="29"/>
      <c r="B134" s="27"/>
      <c r="C134" s="27"/>
      <c r="D134" s="39" t="s">
        <v>277</v>
      </c>
      <c r="E134" s="29" t="s">
        <v>290</v>
      </c>
      <c r="F134" s="30"/>
      <c r="G134" s="189">
        <v>0</v>
      </c>
      <c r="H134" s="186">
        <v>0</v>
      </c>
      <c r="I134" s="32"/>
      <c r="J134" s="33">
        <v>1111</v>
      </c>
      <c r="K134" s="189">
        <v>0</v>
      </c>
      <c r="L134" s="34">
        <f t="shared" si="7"/>
        <v>0</v>
      </c>
      <c r="N134" s="32"/>
    </row>
    <row r="135" spans="1:15" ht="13.5" customHeight="1">
      <c r="H135" s="32"/>
      <c r="J135" s="33"/>
      <c r="K135" s="57"/>
      <c r="N135" s="32"/>
    </row>
    <row r="136" spans="1:15">
      <c r="N136" s="32"/>
    </row>
    <row r="137" spans="1:15" ht="25.5" customHeight="1">
      <c r="A137" s="330" t="s">
        <v>95</v>
      </c>
      <c r="B137" s="330"/>
      <c r="C137" s="330"/>
      <c r="D137" s="331" t="s">
        <v>96</v>
      </c>
      <c r="E137" s="331"/>
      <c r="F137" s="331"/>
      <c r="G137" s="332" t="s">
        <v>97</v>
      </c>
      <c r="H137" s="332"/>
      <c r="N137" s="32"/>
    </row>
    <row r="138" spans="1:15" ht="22.5" customHeight="1">
      <c r="A138" s="333" t="s">
        <v>98</v>
      </c>
      <c r="B138" s="333"/>
      <c r="C138" s="333"/>
      <c r="D138" s="334" t="s">
        <v>99</v>
      </c>
      <c r="E138" s="334"/>
      <c r="F138" s="334"/>
      <c r="G138" s="335" t="s">
        <v>100</v>
      </c>
      <c r="H138" s="335"/>
      <c r="N138" s="32"/>
    </row>
    <row r="139" spans="1:15">
      <c r="A139" s="1"/>
      <c r="B139" s="2"/>
      <c r="C139" s="58"/>
      <c r="D139" s="59"/>
      <c r="E139" s="60"/>
      <c r="F139" s="60"/>
      <c r="G139" s="61"/>
      <c r="H139" s="61"/>
      <c r="N139" s="32"/>
    </row>
    <row r="140" spans="1:15">
      <c r="A140" s="62"/>
      <c r="B140" s="63"/>
      <c r="C140" s="64"/>
      <c r="D140" s="64"/>
      <c r="E140" s="64"/>
      <c r="F140" s="64"/>
      <c r="G140" s="65"/>
      <c r="H140" s="65"/>
      <c r="N140" s="32"/>
    </row>
    <row r="141" spans="1:15">
      <c r="A141" s="1"/>
      <c r="B141" s="2"/>
      <c r="C141" s="58"/>
      <c r="D141" s="59"/>
      <c r="E141" s="60"/>
      <c r="F141" s="60"/>
      <c r="G141" s="66"/>
      <c r="H141" s="66"/>
      <c r="N141" s="32"/>
    </row>
    <row r="142" spans="1:15">
      <c r="A142" s="1"/>
      <c r="B142" s="2"/>
      <c r="C142" s="58"/>
      <c r="D142" s="59"/>
      <c r="E142" s="60"/>
      <c r="F142" s="60"/>
      <c r="G142" s="61"/>
      <c r="H142" s="61"/>
      <c r="N142" s="32"/>
    </row>
    <row r="143" spans="1:15">
      <c r="A143" s="1"/>
      <c r="B143" s="2"/>
      <c r="C143" s="58"/>
      <c r="D143" s="59"/>
      <c r="E143" s="60"/>
      <c r="F143" s="60"/>
      <c r="G143" s="61"/>
      <c r="H143" s="61"/>
      <c r="N143" s="32"/>
    </row>
    <row r="144" spans="1:15">
      <c r="A144" s="1"/>
      <c r="B144" s="2"/>
      <c r="C144" s="58"/>
      <c r="D144" s="59"/>
      <c r="E144" s="60"/>
      <c r="F144" s="60"/>
      <c r="G144" s="61"/>
      <c r="H144" s="61"/>
      <c r="N144" s="32"/>
    </row>
    <row r="145" spans="1:14">
      <c r="A145" s="1"/>
      <c r="B145" s="2"/>
      <c r="C145" s="58"/>
      <c r="D145" s="59"/>
      <c r="E145" s="60"/>
      <c r="F145" s="60"/>
      <c r="G145" s="61"/>
      <c r="H145" s="61"/>
      <c r="N145" s="32"/>
    </row>
    <row r="146" spans="1:14">
      <c r="A146" s="1"/>
      <c r="B146" s="2"/>
      <c r="C146" s="58"/>
      <c r="D146" s="59"/>
      <c r="E146" s="60"/>
      <c r="F146" s="60"/>
      <c r="G146" s="61"/>
      <c r="H146" s="61"/>
      <c r="N146" s="32"/>
    </row>
    <row r="147" spans="1:14">
      <c r="A147" s="1"/>
      <c r="B147" s="2"/>
      <c r="C147" s="58"/>
      <c r="D147" s="59"/>
      <c r="E147" s="60"/>
      <c r="F147" s="60"/>
      <c r="G147" s="61"/>
      <c r="H147" s="61"/>
      <c r="N147" s="32"/>
    </row>
    <row r="148" spans="1:14">
      <c r="A148" s="1"/>
      <c r="B148" s="2"/>
      <c r="C148" s="58"/>
      <c r="D148" s="59"/>
      <c r="E148" s="60"/>
      <c r="F148" s="60"/>
      <c r="G148" s="67"/>
      <c r="H148" s="61"/>
      <c r="N148" s="32"/>
    </row>
    <row r="149" spans="1:14">
      <c r="A149" s="1"/>
      <c r="B149" s="2"/>
      <c r="C149" s="58"/>
      <c r="D149" s="59"/>
      <c r="E149" s="60"/>
      <c r="F149" s="60"/>
      <c r="G149" s="61"/>
      <c r="H149" s="61"/>
      <c r="N149" s="32"/>
    </row>
    <row r="150" spans="1:14">
      <c r="A150" s="1"/>
      <c r="B150" s="2"/>
      <c r="C150" s="58"/>
      <c r="D150" s="59"/>
      <c r="E150" s="60"/>
      <c r="F150" s="60"/>
      <c r="G150" s="61"/>
      <c r="H150" s="61"/>
      <c r="N150" s="32"/>
    </row>
    <row r="151" spans="1:14">
      <c r="A151" s="1"/>
      <c r="B151" s="2"/>
      <c r="C151" s="58"/>
      <c r="D151" s="59"/>
      <c r="E151" s="60"/>
      <c r="F151" s="60"/>
      <c r="G151" s="61"/>
      <c r="H151" s="61"/>
      <c r="N151" s="32"/>
    </row>
    <row r="152" spans="1:14">
      <c r="A152" s="1"/>
      <c r="B152" s="2"/>
      <c r="C152" s="58"/>
      <c r="D152" s="59"/>
      <c r="E152" s="60"/>
      <c r="F152" s="60"/>
      <c r="G152" s="61"/>
      <c r="H152" s="61"/>
      <c r="N152" s="32"/>
    </row>
    <row r="153" spans="1:14">
      <c r="A153" s="1"/>
      <c r="B153" s="2"/>
      <c r="C153" s="58"/>
      <c r="D153" s="59"/>
      <c r="E153" s="60"/>
      <c r="F153" s="60"/>
      <c r="G153" s="61"/>
      <c r="H153" s="61"/>
      <c r="N153" s="32"/>
    </row>
    <row r="154" spans="1:14">
      <c r="A154" s="1"/>
      <c r="B154" s="2"/>
      <c r="C154" s="58"/>
      <c r="D154" s="59"/>
      <c r="E154" s="60"/>
      <c r="F154" s="60"/>
      <c r="G154" s="61"/>
      <c r="H154" s="61"/>
      <c r="N154" s="32"/>
    </row>
    <row r="155" spans="1:14">
      <c r="A155" s="1"/>
      <c r="B155" s="2"/>
      <c r="C155" s="58"/>
      <c r="D155" s="59"/>
      <c r="E155" s="60"/>
      <c r="F155" s="60"/>
      <c r="G155" s="61"/>
      <c r="H155" s="61"/>
      <c r="N155" s="32"/>
    </row>
    <row r="156" spans="1:14">
      <c r="A156" s="1"/>
      <c r="B156" s="2"/>
      <c r="C156" s="58"/>
      <c r="D156" s="59"/>
      <c r="E156" s="60"/>
      <c r="F156" s="60"/>
      <c r="G156" s="61"/>
      <c r="H156" s="61"/>
      <c r="N156" s="32"/>
    </row>
    <row r="157" spans="1:14">
      <c r="A157" s="1"/>
      <c r="B157" s="2"/>
      <c r="C157" s="58"/>
      <c r="D157" s="59"/>
      <c r="E157" s="60"/>
      <c r="F157" s="60"/>
      <c r="G157" s="61"/>
      <c r="H157" s="61"/>
      <c r="N157" s="32"/>
    </row>
    <row r="158" spans="1:14">
      <c r="A158" s="1"/>
      <c r="B158" s="2"/>
      <c r="C158" s="58"/>
      <c r="D158" s="59"/>
      <c r="E158" s="60"/>
      <c r="F158" s="60"/>
      <c r="G158" s="61"/>
      <c r="H158" s="61"/>
      <c r="N158" s="32"/>
    </row>
    <row r="159" spans="1:14">
      <c r="A159" s="1"/>
      <c r="B159" s="2"/>
      <c r="C159" s="58"/>
      <c r="D159" s="59"/>
      <c r="E159" s="60"/>
      <c r="F159" s="60"/>
      <c r="G159" s="61"/>
      <c r="H159" s="61"/>
      <c r="N159" s="32"/>
    </row>
    <row r="160" spans="1:14">
      <c r="A160" s="1"/>
      <c r="B160" s="2"/>
      <c r="C160" s="58"/>
      <c r="D160" s="59"/>
      <c r="E160" s="60"/>
      <c r="F160" s="60"/>
      <c r="G160" s="61"/>
      <c r="H160" s="61"/>
      <c r="N160" s="32"/>
    </row>
    <row r="161" spans="1:14">
      <c r="A161" s="1"/>
      <c r="B161" s="2"/>
      <c r="C161" s="58"/>
      <c r="D161" s="59"/>
      <c r="E161" s="60"/>
      <c r="F161" s="60"/>
      <c r="G161" s="61"/>
      <c r="H161" s="61"/>
      <c r="N161" s="32"/>
    </row>
    <row r="162" spans="1:14">
      <c r="A162" s="1"/>
      <c r="B162" s="2"/>
      <c r="C162" s="58"/>
      <c r="D162" s="59"/>
      <c r="E162" s="60"/>
      <c r="F162" s="60"/>
      <c r="G162" s="61"/>
      <c r="H162" s="61"/>
      <c r="N162" s="32"/>
    </row>
    <row r="163" spans="1:14">
      <c r="A163" s="1"/>
      <c r="B163" s="2"/>
      <c r="C163" s="58"/>
      <c r="D163" s="59"/>
      <c r="E163" s="60"/>
      <c r="F163" s="60"/>
      <c r="G163" s="61"/>
      <c r="H163" s="61"/>
      <c r="N163" s="32"/>
    </row>
    <row r="164" spans="1:14">
      <c r="A164" s="1"/>
      <c r="B164" s="2"/>
      <c r="C164" s="58"/>
      <c r="D164" s="59"/>
      <c r="E164" s="60"/>
      <c r="F164" s="60"/>
      <c r="G164" s="61"/>
      <c r="H164" s="61"/>
      <c r="N164" s="32"/>
    </row>
    <row r="165" spans="1:14">
      <c r="A165" s="1"/>
      <c r="B165" s="2"/>
      <c r="C165" s="58"/>
      <c r="D165" s="59"/>
      <c r="E165" s="60"/>
      <c r="F165" s="60"/>
      <c r="G165" s="61"/>
      <c r="H165" s="61"/>
      <c r="N165" s="32"/>
    </row>
    <row r="166" spans="1:14">
      <c r="A166" s="1"/>
      <c r="B166" s="2"/>
      <c r="C166" s="3"/>
      <c r="D166" s="68"/>
      <c r="E166" s="4"/>
      <c r="F166" s="4"/>
      <c r="N166" s="32"/>
    </row>
    <row r="167" spans="1:14">
      <c r="A167" s="1"/>
      <c r="B167" s="2"/>
      <c r="C167" s="3"/>
      <c r="D167" s="68"/>
      <c r="E167" s="4"/>
      <c r="F167" s="4"/>
      <c r="N167" s="32"/>
    </row>
    <row r="168" spans="1:14">
      <c r="A168" s="1"/>
      <c r="B168" s="2"/>
      <c r="C168" s="3"/>
      <c r="D168" s="68"/>
      <c r="E168" s="4"/>
      <c r="F168" s="4"/>
      <c r="N168" s="32"/>
    </row>
    <row r="169" spans="1:14">
      <c r="A169" s="1"/>
      <c r="B169" s="2"/>
      <c r="C169" s="3"/>
      <c r="D169" s="68"/>
      <c r="E169" s="4"/>
      <c r="F169" s="4"/>
      <c r="N169" s="32"/>
    </row>
    <row r="170" spans="1:14">
      <c r="A170" s="1"/>
      <c r="B170" s="2"/>
      <c r="C170" s="3"/>
      <c r="D170" s="68"/>
      <c r="E170" s="4"/>
      <c r="F170" s="4"/>
      <c r="N170" s="32"/>
    </row>
    <row r="171" spans="1:14">
      <c r="A171" s="1"/>
      <c r="B171" s="2"/>
      <c r="C171" s="3"/>
      <c r="D171" s="68"/>
      <c r="E171" s="4"/>
      <c r="F171" s="4"/>
      <c r="N171" s="32"/>
    </row>
    <row r="172" spans="1:14">
      <c r="A172" s="1"/>
      <c r="B172" s="2"/>
      <c r="C172" s="3"/>
      <c r="D172" s="68"/>
      <c r="E172" s="4"/>
      <c r="F172" s="4"/>
      <c r="N172" s="32"/>
    </row>
    <row r="173" spans="1:14">
      <c r="A173" s="1"/>
      <c r="B173" s="2"/>
      <c r="C173" s="3"/>
      <c r="D173" s="68"/>
      <c r="E173" s="4"/>
      <c r="F173" s="4"/>
      <c r="N173" s="32"/>
    </row>
    <row r="174" spans="1:14">
      <c r="A174" s="1"/>
      <c r="B174" s="2"/>
      <c r="C174" s="3"/>
      <c r="D174" s="68"/>
      <c r="E174" s="4"/>
      <c r="F174" s="4"/>
      <c r="N174" s="32"/>
    </row>
    <row r="175" spans="1:14">
      <c r="A175" s="1"/>
      <c r="B175" s="2"/>
      <c r="C175" s="3"/>
      <c r="D175" s="68"/>
      <c r="E175" s="4"/>
      <c r="F175" s="4"/>
      <c r="N175" s="32"/>
    </row>
    <row r="176" spans="1:14">
      <c r="A176" s="1"/>
      <c r="B176" s="2"/>
      <c r="C176" s="3"/>
      <c r="D176" s="68"/>
      <c r="E176" s="4"/>
      <c r="F176" s="4"/>
      <c r="N176" s="32"/>
    </row>
    <row r="177" spans="1:14">
      <c r="A177" s="1"/>
      <c r="B177" s="2"/>
      <c r="C177" s="3"/>
      <c r="D177" s="68"/>
      <c r="E177" s="4"/>
      <c r="F177" s="4"/>
      <c r="N177" s="32"/>
    </row>
    <row r="178" spans="1:14">
      <c r="A178" s="1"/>
      <c r="B178" s="2"/>
      <c r="C178" s="3"/>
      <c r="D178" s="68"/>
      <c r="E178" s="4"/>
      <c r="F178" s="4"/>
      <c r="N178" s="32"/>
    </row>
    <row r="179" spans="1:14">
      <c r="A179" s="1"/>
      <c r="B179" s="2"/>
      <c r="C179" s="3"/>
      <c r="D179" s="68"/>
      <c r="E179" s="4"/>
      <c r="F179" s="4"/>
      <c r="N179" s="32"/>
    </row>
    <row r="180" spans="1:14">
      <c r="A180" s="1"/>
      <c r="B180" s="2"/>
      <c r="C180" s="3"/>
      <c r="D180" s="68"/>
      <c r="E180" s="4"/>
      <c r="F180" s="4"/>
      <c r="N180" s="32"/>
    </row>
    <row r="181" spans="1:14">
      <c r="A181" s="1"/>
      <c r="B181" s="2"/>
      <c r="C181" s="3"/>
      <c r="D181" s="68"/>
      <c r="E181" s="4"/>
      <c r="F181" s="4"/>
      <c r="N181" s="32"/>
    </row>
    <row r="182" spans="1:14">
      <c r="A182" s="1"/>
      <c r="B182" s="2"/>
      <c r="C182" s="3"/>
      <c r="D182" s="68"/>
      <c r="E182" s="4"/>
      <c r="F182" s="4"/>
      <c r="N182" s="32"/>
    </row>
    <row r="183" spans="1:14">
      <c r="A183" s="1"/>
      <c r="B183" s="2"/>
      <c r="C183" s="3"/>
      <c r="D183" s="68"/>
      <c r="E183" s="4"/>
      <c r="F183" s="4"/>
      <c r="N183" s="32"/>
    </row>
    <row r="184" spans="1:14">
      <c r="A184" s="1"/>
      <c r="B184" s="2"/>
      <c r="C184" s="3"/>
      <c r="D184" s="68"/>
      <c r="E184" s="4"/>
      <c r="F184" s="4"/>
      <c r="N184" s="32"/>
    </row>
    <row r="185" spans="1:14">
      <c r="A185" s="1"/>
      <c r="B185" s="2"/>
      <c r="C185" s="3"/>
      <c r="D185" s="68"/>
      <c r="E185" s="4"/>
      <c r="F185" s="4"/>
      <c r="N185" s="32"/>
    </row>
    <row r="186" spans="1:14">
      <c r="A186" s="1"/>
      <c r="B186" s="2"/>
      <c r="C186" s="3"/>
      <c r="D186" s="68"/>
      <c r="E186" s="4"/>
      <c r="F186" s="4"/>
      <c r="N186" s="32"/>
    </row>
    <row r="187" spans="1:14">
      <c r="A187" s="1"/>
      <c r="B187" s="2"/>
      <c r="C187" s="3"/>
      <c r="D187" s="68"/>
      <c r="E187" s="4"/>
      <c r="F187" s="4"/>
      <c r="N187" s="32"/>
    </row>
    <row r="188" spans="1:14">
      <c r="A188" s="1"/>
      <c r="B188" s="2"/>
      <c r="C188" s="3"/>
      <c r="D188" s="68"/>
      <c r="E188" s="4"/>
      <c r="F188" s="4"/>
    </row>
    <row r="189" spans="1:14">
      <c r="A189" s="1"/>
      <c r="B189" s="2"/>
      <c r="C189" s="3"/>
      <c r="D189" s="68"/>
      <c r="E189" s="4"/>
      <c r="F189" s="4"/>
    </row>
    <row r="190" spans="1:14">
      <c r="A190" s="1"/>
      <c r="B190" s="2"/>
      <c r="C190" s="3"/>
      <c r="D190" s="68"/>
      <c r="E190" s="4"/>
      <c r="F190" s="4"/>
    </row>
    <row r="191" spans="1:14">
      <c r="A191" s="1"/>
      <c r="B191" s="2"/>
      <c r="C191" s="3"/>
      <c r="D191" s="68"/>
      <c r="E191" s="4"/>
      <c r="F191" s="4"/>
    </row>
    <row r="192" spans="1:14">
      <c r="A192" s="1"/>
      <c r="B192" s="2"/>
      <c r="C192" s="3"/>
      <c r="D192" s="68"/>
      <c r="E192" s="4"/>
      <c r="F192" s="4"/>
    </row>
    <row r="193" spans="1:6">
      <c r="A193" s="1"/>
      <c r="B193" s="2"/>
      <c r="C193" s="3"/>
      <c r="D193" s="68"/>
      <c r="E193" s="4"/>
      <c r="F193" s="4"/>
    </row>
    <row r="194" spans="1:6">
      <c r="A194" s="1"/>
      <c r="B194" s="2"/>
      <c r="C194" s="3"/>
      <c r="D194" s="68"/>
      <c r="E194" s="4"/>
      <c r="F194" s="4"/>
    </row>
    <row r="195" spans="1:6">
      <c r="A195" s="1"/>
      <c r="B195" s="2"/>
      <c r="C195" s="3"/>
      <c r="D195" s="68"/>
      <c r="E195" s="4"/>
      <c r="F195" s="4"/>
    </row>
    <row r="196" spans="1:6">
      <c r="A196" s="1"/>
      <c r="B196" s="2"/>
      <c r="C196" s="3"/>
      <c r="D196" s="68"/>
      <c r="E196" s="4"/>
      <c r="F196" s="4"/>
    </row>
    <row r="197" spans="1:6">
      <c r="A197" s="1"/>
      <c r="B197" s="2"/>
      <c r="C197" s="3"/>
      <c r="D197" s="68"/>
      <c r="E197" s="4"/>
      <c r="F197" s="4"/>
    </row>
    <row r="198" spans="1:6">
      <c r="A198" s="1"/>
      <c r="B198" s="2"/>
      <c r="C198" s="3"/>
      <c r="D198" s="68"/>
      <c r="E198" s="4"/>
      <c r="F198" s="4"/>
    </row>
    <row r="199" spans="1:6">
      <c r="A199" s="1"/>
      <c r="B199" s="2"/>
      <c r="C199" s="3"/>
      <c r="D199" s="68"/>
      <c r="E199" s="4"/>
      <c r="F199" s="4"/>
    </row>
    <row r="200" spans="1:6">
      <c r="A200" s="1"/>
      <c r="B200" s="2"/>
      <c r="C200" s="3"/>
      <c r="D200" s="68"/>
      <c r="E200" s="4"/>
      <c r="F200" s="4"/>
    </row>
    <row r="201" spans="1:6">
      <c r="A201" s="1"/>
      <c r="B201" s="2"/>
      <c r="C201" s="3"/>
      <c r="D201" s="68"/>
      <c r="E201" s="4"/>
      <c r="F201" s="4"/>
    </row>
    <row r="202" spans="1:6">
      <c r="A202" s="1"/>
      <c r="B202" s="2"/>
      <c r="C202" s="3"/>
      <c r="D202" s="68"/>
      <c r="E202" s="4"/>
      <c r="F202" s="4"/>
    </row>
    <row r="203" spans="1:6">
      <c r="A203" s="1"/>
      <c r="B203" s="2"/>
      <c r="C203" s="3"/>
      <c r="D203" s="68"/>
      <c r="E203" s="4"/>
      <c r="F203" s="4"/>
    </row>
    <row r="204" spans="1:6">
      <c r="A204" s="1"/>
      <c r="B204" s="2"/>
      <c r="C204" s="3"/>
      <c r="D204" s="68"/>
      <c r="E204" s="4"/>
      <c r="F204" s="4"/>
    </row>
    <row r="205" spans="1:6">
      <c r="A205" s="1"/>
      <c r="B205" s="2"/>
      <c r="C205" s="3"/>
      <c r="D205" s="68"/>
      <c r="E205" s="4"/>
      <c r="F205" s="4"/>
    </row>
    <row r="206" spans="1:6">
      <c r="A206" s="1"/>
      <c r="B206" s="2"/>
      <c r="C206" s="3"/>
      <c r="D206" s="68"/>
      <c r="E206" s="4"/>
      <c r="F206" s="4"/>
    </row>
    <row r="207" spans="1:6">
      <c r="A207" s="1"/>
      <c r="B207" s="2"/>
      <c r="C207" s="3"/>
      <c r="D207" s="68"/>
      <c r="E207" s="4"/>
      <c r="F207" s="4"/>
    </row>
    <row r="208" spans="1:6">
      <c r="A208" s="1"/>
      <c r="B208" s="2"/>
      <c r="C208" s="3"/>
      <c r="D208" s="68"/>
      <c r="E208" s="4"/>
      <c r="F208" s="4"/>
    </row>
    <row r="209" spans="1:6">
      <c r="A209" s="1"/>
      <c r="B209" s="2"/>
      <c r="C209" s="3"/>
      <c r="D209" s="68"/>
      <c r="E209" s="4"/>
      <c r="F209" s="4"/>
    </row>
    <row r="210" spans="1:6">
      <c r="A210" s="1"/>
      <c r="B210" s="2"/>
      <c r="C210" s="3"/>
      <c r="D210" s="68"/>
      <c r="E210" s="4"/>
      <c r="F210" s="4"/>
    </row>
    <row r="211" spans="1:6">
      <c r="A211" s="1"/>
      <c r="B211" s="2"/>
      <c r="C211" s="3"/>
      <c r="D211" s="68"/>
      <c r="E211" s="4"/>
      <c r="F211" s="4"/>
    </row>
    <row r="212" spans="1:6">
      <c r="A212" s="1"/>
      <c r="B212" s="2"/>
      <c r="C212" s="3"/>
      <c r="D212" s="68"/>
      <c r="E212" s="4"/>
      <c r="F212" s="4"/>
    </row>
    <row r="213" spans="1:6">
      <c r="A213" s="1"/>
      <c r="B213" s="2"/>
      <c r="C213" s="3"/>
      <c r="D213" s="68"/>
      <c r="E213" s="4"/>
      <c r="F213" s="4"/>
    </row>
    <row r="214" spans="1:6">
      <c r="A214" s="1"/>
      <c r="B214" s="2"/>
      <c r="C214" s="3"/>
      <c r="D214" s="68"/>
      <c r="E214" s="4"/>
      <c r="F214" s="4"/>
    </row>
    <row r="215" spans="1:6">
      <c r="A215" s="1"/>
      <c r="B215" s="2"/>
      <c r="C215" s="3"/>
      <c r="D215" s="68"/>
      <c r="E215" s="4"/>
      <c r="F215" s="4"/>
    </row>
    <row r="216" spans="1:6">
      <c r="A216" s="1"/>
      <c r="B216" s="2"/>
      <c r="C216" s="3"/>
      <c r="D216" s="68"/>
      <c r="E216" s="4"/>
      <c r="F216" s="4"/>
    </row>
    <row r="217" spans="1:6">
      <c r="A217" s="1"/>
      <c r="B217" s="2"/>
      <c r="C217" s="3"/>
      <c r="D217" s="68"/>
      <c r="E217" s="4"/>
      <c r="F217" s="4"/>
    </row>
    <row r="218" spans="1:6">
      <c r="A218" s="1"/>
      <c r="B218" s="2"/>
      <c r="C218" s="3"/>
      <c r="D218" s="68"/>
      <c r="E218" s="4"/>
      <c r="F218" s="4"/>
    </row>
    <row r="219" spans="1:6">
      <c r="A219" s="1"/>
      <c r="B219" s="2"/>
      <c r="C219" s="3"/>
      <c r="D219" s="68"/>
      <c r="E219" s="4"/>
      <c r="F219" s="4"/>
    </row>
    <row r="220" spans="1:6">
      <c r="D220" s="69"/>
    </row>
    <row r="221" spans="1:6">
      <c r="D221" s="69"/>
    </row>
    <row r="222" spans="1:6">
      <c r="D222" s="69"/>
    </row>
    <row r="223" spans="1:6">
      <c r="D223" s="69"/>
    </row>
    <row r="224" spans="1:6">
      <c r="D224" s="69"/>
    </row>
    <row r="225" spans="4:4">
      <c r="D225" s="69"/>
    </row>
    <row r="226" spans="4:4">
      <c r="D226" s="69"/>
    </row>
    <row r="227" spans="4:4">
      <c r="D227" s="69"/>
    </row>
  </sheetData>
  <mergeCells count="23">
    <mergeCell ref="B20:D20"/>
    <mergeCell ref="A137:C137"/>
    <mergeCell ref="D137:F137"/>
    <mergeCell ref="G137:H137"/>
    <mergeCell ref="A138:C138"/>
    <mergeCell ref="D138:F138"/>
    <mergeCell ref="G138:H138"/>
    <mergeCell ref="A12:D12"/>
    <mergeCell ref="A14:H14"/>
    <mergeCell ref="A15:H15"/>
    <mergeCell ref="A16:H16"/>
    <mergeCell ref="G17:H17"/>
    <mergeCell ref="A18:A19"/>
    <mergeCell ref="B18:D19"/>
    <mergeCell ref="E18:E19"/>
    <mergeCell ref="F18:F19"/>
    <mergeCell ref="G18:H18"/>
    <mergeCell ref="A11:G11"/>
    <mergeCell ref="A2:D2"/>
    <mergeCell ref="A3:D3"/>
    <mergeCell ref="A4:D4"/>
    <mergeCell ref="A5:D5"/>
    <mergeCell ref="A6:D6"/>
  </mergeCells>
  <pageMargins left="0.19685039370078741" right="0.19685039370078741" top="0.59055118110236227" bottom="0.19685039370078741" header="0.51181102362204722" footer="0.15748031496062992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171450</xdr:rowOff>
              </to>
            </anchor>
          </objectPr>
        </oleObject>
      </mc:Choice>
      <mc:Fallback>
        <oleObject progId="Word.Document.8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1. OŽ</vt:lpstr>
      <vt:lpstr>2. ŽO osim OŽ</vt:lpstr>
      <vt:lpstr>3. ŽO zbirno</vt:lpstr>
      <vt:lpstr>4. N i DZ</vt:lpstr>
      <vt:lpstr>5. MV</vt:lpstr>
      <vt:lpstr>6. PO i TR</vt:lpstr>
      <vt:lpstr>7. VAZ</vt:lpstr>
      <vt:lpstr>8. IMOV</vt:lpstr>
      <vt:lpstr>9. ODG.</vt:lpstr>
      <vt:lpstr>10.KJ</vt:lpstr>
      <vt:lpstr>11. OST.</vt:lpstr>
      <vt:lpstr>12. NZZ</vt:lpstr>
      <vt:lpstr>13. ukupno</vt:lpstr>
      <vt:lpstr>Sheet1</vt:lpstr>
      <vt:lpstr>zajedno (segmentno)</vt:lpstr>
    </vt:vector>
  </TitlesOfParts>
  <Company>Kompanija 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Jovisic</dc:creator>
  <cp:lastModifiedBy>Emina Jovanović</cp:lastModifiedBy>
  <cp:lastPrinted>2016-03-22T12:18:43Z</cp:lastPrinted>
  <dcterms:created xsi:type="dcterms:W3CDTF">2009-03-19T18:29:58Z</dcterms:created>
  <dcterms:modified xsi:type="dcterms:W3CDTF">2016-03-22T12:19:48Z</dcterms:modified>
</cp:coreProperties>
</file>